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8975" windowHeight="11445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Sheet2!$A$1:$X$41</definedName>
  </definedNames>
  <calcPr calcId="124519"/>
</workbook>
</file>

<file path=xl/calcChain.xml><?xml version="1.0" encoding="utf-8"?>
<calcChain xmlns="http://schemas.openxmlformats.org/spreadsheetml/2006/main">
  <c r="B27" i="3"/>
  <c r="C27"/>
  <c r="D27"/>
  <c r="E27"/>
  <c r="F27"/>
  <c r="G27"/>
  <c r="H27"/>
  <c r="I27"/>
  <c r="J27"/>
  <c r="N27"/>
  <c r="O27"/>
  <c r="P27"/>
  <c r="N14"/>
  <c r="O14"/>
  <c r="P14"/>
  <c r="B14"/>
  <c r="C14"/>
  <c r="D14"/>
  <c r="E14"/>
  <c r="F14"/>
  <c r="G14"/>
  <c r="H14"/>
  <c r="I14"/>
  <c r="J14"/>
  <c r="P22"/>
  <c r="P9"/>
  <c r="O10" i="1"/>
  <c r="N10"/>
  <c r="P10" s="1"/>
  <c r="O9"/>
  <c r="N9"/>
  <c r="P9" s="1"/>
  <c r="O10" i="2"/>
  <c r="N10"/>
  <c r="P10" s="1"/>
  <c r="O9"/>
  <c r="N9"/>
  <c r="P9" s="1"/>
  <c r="W27" i="3" l="1"/>
  <c r="W14"/>
  <c r="W41" i="2"/>
  <c r="W41" i="1"/>
  <c r="P23" i="3" l="1"/>
  <c r="P10"/>
  <c r="O14" i="2"/>
  <c r="N14"/>
  <c r="P14" s="1"/>
  <c r="O13"/>
  <c r="N13"/>
  <c r="P13" s="1"/>
  <c r="O12"/>
  <c r="N12"/>
  <c r="P12" s="1"/>
  <c r="O11"/>
  <c r="N11"/>
  <c r="P11" s="1"/>
  <c r="O14" i="1"/>
  <c r="N14"/>
  <c r="P14" s="1"/>
  <c r="O13"/>
  <c r="N13"/>
  <c r="P13" s="1"/>
  <c r="O12"/>
  <c r="N12"/>
  <c r="P12" s="1"/>
  <c r="O11"/>
  <c r="N11"/>
  <c r="P11" s="1"/>
  <c r="R37"/>
  <c r="Q37"/>
  <c r="S37" s="1"/>
  <c r="S33"/>
  <c r="R32"/>
  <c r="Q32"/>
  <c r="S32" s="1"/>
  <c r="S31"/>
  <c r="R30"/>
  <c r="Q30"/>
  <c r="S30" s="1"/>
  <c r="R28"/>
  <c r="Q28"/>
  <c r="S28" s="1"/>
  <c r="S27"/>
  <c r="R26"/>
  <c r="Q26"/>
  <c r="S26" s="1"/>
  <c r="R25"/>
  <c r="Q25"/>
  <c r="S25" s="1"/>
  <c r="S22"/>
  <c r="S21"/>
  <c r="S20"/>
  <c r="R19"/>
  <c r="Q19"/>
  <c r="S19" s="1"/>
  <c r="R18"/>
  <c r="Q18"/>
  <c r="S18" s="1"/>
  <c r="R37" i="2"/>
  <c r="Q37"/>
  <c r="S37" s="1"/>
  <c r="S33"/>
  <c r="R32"/>
  <c r="Q32"/>
  <c r="S32" s="1"/>
  <c r="S31"/>
  <c r="R30"/>
  <c r="Q30"/>
  <c r="S30" s="1"/>
  <c r="R28"/>
  <c r="Q28"/>
  <c r="S28" s="1"/>
  <c r="S27"/>
  <c r="R26"/>
  <c r="Q26"/>
  <c r="S26" s="1"/>
  <c r="R25"/>
  <c r="Q25"/>
  <c r="S25" s="1"/>
  <c r="S22"/>
  <c r="S21"/>
  <c r="S20"/>
  <c r="R19"/>
  <c r="Q19"/>
  <c r="S19" s="1"/>
  <c r="R18"/>
  <c r="Q18"/>
  <c r="S18" s="1"/>
  <c r="O34"/>
  <c r="N34"/>
  <c r="P28"/>
  <c r="O28"/>
  <c r="N28"/>
  <c r="P34" i="1"/>
  <c r="O34"/>
  <c r="N34"/>
  <c r="P28"/>
  <c r="O28"/>
  <c r="N28"/>
</calcChain>
</file>

<file path=xl/sharedStrings.xml><?xml version="1.0" encoding="utf-8"?>
<sst xmlns="http://schemas.openxmlformats.org/spreadsheetml/2006/main" count="219" uniqueCount="59">
  <si>
    <t>FEDERAL AIRPORTS AUTHORITY OF NIGERIA</t>
  </si>
  <si>
    <t>OPERATIONS DEPARTMENT HEADQUARTERS</t>
  </si>
  <si>
    <t>PASSENGER TRAFFIC</t>
  </si>
  <si>
    <t>JANUARY</t>
  </si>
  <si>
    <t>FEBRUARY</t>
  </si>
  <si>
    <t>MARCH</t>
  </si>
  <si>
    <t>APRIL</t>
  </si>
  <si>
    <t>MAY</t>
  </si>
  <si>
    <t>JUNE</t>
  </si>
  <si>
    <t>G.TOTAL</t>
  </si>
  <si>
    <t>AIRPORTS</t>
  </si>
  <si>
    <t>ARR</t>
  </si>
  <si>
    <t>DEP</t>
  </si>
  <si>
    <t>TOTAL</t>
  </si>
  <si>
    <t>%GROWTH</t>
  </si>
  <si>
    <t>MMA DOM</t>
  </si>
  <si>
    <t>MMA INT'L</t>
  </si>
  <si>
    <t>ABV. DOM</t>
  </si>
  <si>
    <t>ABV.INT'L</t>
  </si>
  <si>
    <t>PHC.DOM</t>
  </si>
  <si>
    <t>PHC.INT'L</t>
  </si>
  <si>
    <t>KANO DOM</t>
  </si>
  <si>
    <t>KANO INT'L</t>
  </si>
  <si>
    <t>ENUGU</t>
  </si>
  <si>
    <t>OSUBI</t>
  </si>
  <si>
    <t>KAD. DOM</t>
  </si>
  <si>
    <t>KAD. INT'L</t>
  </si>
  <si>
    <t>CAL.DOM</t>
  </si>
  <si>
    <t>CAL. INT'L</t>
  </si>
  <si>
    <t>SOK.DOM</t>
  </si>
  <si>
    <t>SOK. INT'L</t>
  </si>
  <si>
    <t>BENIN</t>
  </si>
  <si>
    <t>MAID. DOM</t>
  </si>
  <si>
    <t>MAID. INT'L</t>
  </si>
  <si>
    <t>JOS</t>
  </si>
  <si>
    <t>OWERRI</t>
  </si>
  <si>
    <t>YOLA DOM</t>
  </si>
  <si>
    <t>YOLA INT'L</t>
  </si>
  <si>
    <t>ILORIN DOM</t>
  </si>
  <si>
    <t>ILORIN INT'L</t>
  </si>
  <si>
    <t>IBADAN</t>
  </si>
  <si>
    <t>MINNA</t>
  </si>
  <si>
    <t>MINNA INT'L</t>
  </si>
  <si>
    <t>AKURE</t>
  </si>
  <si>
    <t>KAT</t>
  </si>
  <si>
    <t>KAT INT'L</t>
  </si>
  <si>
    <t>MKD</t>
  </si>
  <si>
    <t>PREPARED BY: ALAKA ABIOLA</t>
  </si>
  <si>
    <t>CHECKED BY: LAWAL ABDULLAHI</t>
  </si>
  <si>
    <t>ASS. EXECUTIVE OFFICER</t>
  </si>
  <si>
    <t>SENIOR OPS. OFFICER</t>
  </si>
  <si>
    <t>AIRCRAFT MOVEMENT</t>
  </si>
  <si>
    <t>MMA</t>
  </si>
  <si>
    <t>ABUJA</t>
  </si>
  <si>
    <t>PHC</t>
  </si>
  <si>
    <t>KANO</t>
  </si>
  <si>
    <t>FIRST HALF 2012</t>
  </si>
  <si>
    <t>MAIL MOVEMENT (KG) FIRST HALF 2012</t>
  </si>
  <si>
    <t>1ST HALF 11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</si>
</sst>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_(* #,##0.0_);_(* \(#,##0.0\);_(* &quot;-&quot;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/>
    <xf numFmtId="0" fontId="5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65" fontId="0" fillId="0" borderId="1" xfId="1" applyNumberFormat="1" applyFont="1" applyBorder="1"/>
    <xf numFmtId="0" fontId="3" fillId="0" borderId="1" xfId="0" applyFont="1" applyFill="1" applyBorder="1"/>
    <xf numFmtId="0" fontId="3" fillId="0" borderId="0" xfId="0" applyFont="1"/>
    <xf numFmtId="0" fontId="0" fillId="0" borderId="0" xfId="0"/>
    <xf numFmtId="0" fontId="5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65" fontId="0" fillId="0" borderId="1" xfId="1" applyNumberFormat="1" applyFont="1" applyBorder="1"/>
    <xf numFmtId="165" fontId="0" fillId="0" borderId="1" xfId="0" applyNumberFormat="1" applyBorder="1"/>
    <xf numFmtId="165" fontId="3" fillId="0" borderId="1" xfId="1" applyNumberFormat="1" applyFont="1" applyBorder="1"/>
    <xf numFmtId="165" fontId="3" fillId="0" borderId="1" xfId="0" applyNumberFormat="1" applyFont="1" applyBorder="1"/>
    <xf numFmtId="166" fontId="0" fillId="0" borderId="1" xfId="0" applyNumberFormat="1" applyBorder="1"/>
    <xf numFmtId="166" fontId="3" fillId="0" borderId="1" xfId="0" applyNumberFormat="1" applyFont="1" applyBorder="1"/>
    <xf numFmtId="0" fontId="0" fillId="0" borderId="0" xfId="0"/>
    <xf numFmtId="0" fontId="0" fillId="0" borderId="1" xfId="0" applyBorder="1"/>
    <xf numFmtId="0" fontId="2" fillId="0" borderId="1" xfId="0" applyFont="1" applyBorder="1"/>
    <xf numFmtId="0" fontId="5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165" fontId="0" fillId="0" borderId="1" xfId="1" applyNumberFormat="1" applyFont="1" applyBorder="1"/>
    <xf numFmtId="165" fontId="2" fillId="0" borderId="1" xfId="1" applyNumberFormat="1" applyFont="1" applyBorder="1"/>
    <xf numFmtId="165" fontId="2" fillId="0" borderId="1" xfId="0" applyNumberFormat="1" applyFont="1" applyBorder="1"/>
    <xf numFmtId="166" fontId="0" fillId="0" borderId="1" xfId="1" applyNumberFormat="1" applyFont="1" applyBorder="1"/>
    <xf numFmtId="166" fontId="2" fillId="0" borderId="1" xfId="1" applyNumberFormat="1" applyFont="1" applyBorder="1"/>
    <xf numFmtId="166" fontId="2" fillId="0" borderId="1" xfId="0" applyNumberFormat="1" applyFont="1" applyBorder="1"/>
    <xf numFmtId="164" fontId="0" fillId="0" borderId="1" xfId="1" applyNumberFormat="1" applyFont="1" applyBorder="1"/>
    <xf numFmtId="166" fontId="0" fillId="0" borderId="1" xfId="0" applyNumberFormat="1" applyBorder="1"/>
    <xf numFmtId="166" fontId="6" fillId="0" borderId="1" xfId="1" applyNumberFormat="1" applyFont="1" applyBorder="1"/>
    <xf numFmtId="167" fontId="0" fillId="0" borderId="1" xfId="0" applyNumberFormat="1" applyBorder="1"/>
    <xf numFmtId="164" fontId="0" fillId="0" borderId="1" xfId="0" applyNumberFormat="1" applyBorder="1"/>
    <xf numFmtId="167" fontId="2" fillId="0" borderId="1" xfId="0" applyNumberFormat="1" applyFont="1" applyBorder="1"/>
    <xf numFmtId="164" fontId="2" fillId="0" borderId="1" xfId="0" applyNumberFormat="1" applyFont="1" applyBorder="1"/>
    <xf numFmtId="0" fontId="0" fillId="0" borderId="1" xfId="0" applyBorder="1"/>
    <xf numFmtId="165" fontId="0" fillId="0" borderId="1" xfId="1" applyNumberFormat="1" applyFont="1" applyBorder="1"/>
    <xf numFmtId="164" fontId="0" fillId="0" borderId="1" xfId="1" applyFont="1" applyBorder="1"/>
    <xf numFmtId="165" fontId="0" fillId="0" borderId="1" xfId="1" applyNumberFormat="1" applyFont="1" applyBorder="1"/>
    <xf numFmtId="165" fontId="0" fillId="0" borderId="1" xfId="0" applyNumberFormat="1" applyBorder="1"/>
    <xf numFmtId="0" fontId="0" fillId="0" borderId="0" xfId="0"/>
    <xf numFmtId="0" fontId="3" fillId="0" borderId="1" xfId="0" applyFont="1" applyBorder="1"/>
    <xf numFmtId="165" fontId="0" fillId="0" borderId="1" xfId="1" applyNumberFormat="1" applyFont="1" applyBorder="1"/>
    <xf numFmtId="164" fontId="0" fillId="0" borderId="1" xfId="1" applyFont="1" applyBorder="1"/>
    <xf numFmtId="166" fontId="0" fillId="0" borderId="1" xfId="1" applyNumberFormat="1" applyFont="1" applyBorder="1"/>
    <xf numFmtId="165" fontId="0" fillId="0" borderId="5" xfId="1" applyNumberFormat="1" applyFont="1" applyFill="1" applyBorder="1"/>
    <xf numFmtId="166" fontId="0" fillId="0" borderId="1" xfId="1" applyNumberFormat="1" applyFont="1" applyBorder="1"/>
    <xf numFmtId="0" fontId="0" fillId="0" borderId="0" xfId="0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0" borderId="1" xfId="0" applyNumberFormat="1" applyBorder="1"/>
    <xf numFmtId="3" fontId="2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3" fontId="0" fillId="0" borderId="1" xfId="0" applyNumberFormat="1" applyBorder="1"/>
    <xf numFmtId="164" fontId="0" fillId="0" borderId="1" xfId="1" applyFont="1" applyBorder="1"/>
    <xf numFmtId="166" fontId="0" fillId="0" borderId="1" xfId="1" applyNumberFormat="1" applyFont="1" applyBorder="1"/>
    <xf numFmtId="165" fontId="0" fillId="0" borderId="1" xfId="1" applyNumberFormat="1" applyFont="1" applyBorder="1"/>
    <xf numFmtId="166" fontId="0" fillId="0" borderId="1" xfId="1" applyNumberFormat="1" applyFont="1" applyBorder="1"/>
    <xf numFmtId="165" fontId="0" fillId="0" borderId="1" xfId="1" applyNumberFormat="1" applyFont="1" applyBorder="1"/>
    <xf numFmtId="4" fontId="2" fillId="0" borderId="1" xfId="0" applyNumberFormat="1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5"/>
  <sheetViews>
    <sheetView tabSelected="1" workbookViewId="0">
      <selection activeCell="P42" sqref="P42"/>
    </sheetView>
  </sheetViews>
  <sheetFormatPr defaultRowHeight="15"/>
  <cols>
    <col min="1" max="1" width="14.7109375" customWidth="1"/>
    <col min="2" max="4" width="10.5703125" bestFit="1" customWidth="1"/>
    <col min="5" max="5" width="10.140625" bestFit="1" customWidth="1"/>
    <col min="6" max="6" width="10.5703125" bestFit="1" customWidth="1"/>
    <col min="7" max="7" width="11.85546875" bestFit="1" customWidth="1"/>
    <col min="8" max="9" width="9" customWidth="1"/>
    <col min="10" max="10" width="11.28515625" bestFit="1" customWidth="1"/>
    <col min="11" max="12" width="9" customWidth="1"/>
    <col min="13" max="13" width="9.140625" customWidth="1"/>
    <col min="14" max="16" width="9" customWidth="1"/>
    <col min="17" max="19" width="9.28515625" bestFit="1" customWidth="1"/>
    <col min="23" max="23" width="13.140625" customWidth="1"/>
    <col min="24" max="24" width="15.140625" customWidth="1"/>
  </cols>
  <sheetData>
    <row r="1" spans="1:25" ht="2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2"/>
    </row>
    <row r="2" spans="1:25" ht="2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25" ht="21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2"/>
    </row>
    <row r="5" spans="1:25" ht="18.75">
      <c r="A5" s="74" t="s">
        <v>56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</row>
    <row r="7" spans="1:25" ht="15.75">
      <c r="A7" s="3"/>
      <c r="B7" s="4"/>
      <c r="C7" s="5" t="s">
        <v>3</v>
      </c>
      <c r="D7" s="6"/>
      <c r="E7" s="4"/>
      <c r="F7" s="5" t="s">
        <v>4</v>
      </c>
      <c r="G7" s="6"/>
      <c r="H7" s="4"/>
      <c r="I7" s="5" t="s">
        <v>5</v>
      </c>
      <c r="J7" s="6"/>
      <c r="K7" s="4"/>
      <c r="L7" s="5" t="s">
        <v>6</v>
      </c>
      <c r="M7" s="6"/>
      <c r="N7" s="4"/>
      <c r="O7" s="5" t="s">
        <v>7</v>
      </c>
      <c r="P7" s="6"/>
      <c r="Q7" s="4"/>
      <c r="R7" s="5" t="s">
        <v>8</v>
      </c>
      <c r="S7" s="6"/>
      <c r="T7" s="4"/>
      <c r="U7" s="5" t="s">
        <v>9</v>
      </c>
      <c r="V7" s="6">
        <v>2012</v>
      </c>
      <c r="W7" s="49">
        <v>2011</v>
      </c>
      <c r="X7" s="6"/>
      <c r="Y7" s="1"/>
    </row>
    <row r="8" spans="1:25" ht="15.75">
      <c r="A8" s="3" t="s">
        <v>10</v>
      </c>
      <c r="B8" s="3" t="s">
        <v>11</v>
      </c>
      <c r="C8" s="3" t="s">
        <v>12</v>
      </c>
      <c r="D8" s="3" t="s">
        <v>13</v>
      </c>
      <c r="E8" s="3" t="s">
        <v>11</v>
      </c>
      <c r="F8" s="3" t="s">
        <v>12</v>
      </c>
      <c r="G8" s="3" t="s">
        <v>13</v>
      </c>
      <c r="H8" s="3" t="s">
        <v>11</v>
      </c>
      <c r="I8" s="3" t="s">
        <v>12</v>
      </c>
      <c r="J8" s="3" t="s">
        <v>13</v>
      </c>
      <c r="K8" s="3" t="s">
        <v>11</v>
      </c>
      <c r="L8" s="3" t="s">
        <v>12</v>
      </c>
      <c r="M8" s="3" t="s">
        <v>13</v>
      </c>
      <c r="N8" s="3" t="s">
        <v>11</v>
      </c>
      <c r="O8" s="3" t="s">
        <v>12</v>
      </c>
      <c r="P8" s="3" t="s">
        <v>13</v>
      </c>
      <c r="Q8" s="3" t="s">
        <v>11</v>
      </c>
      <c r="R8" s="3" t="s">
        <v>12</v>
      </c>
      <c r="S8" s="3" t="s">
        <v>13</v>
      </c>
      <c r="T8" s="3" t="s">
        <v>11</v>
      </c>
      <c r="U8" s="3" t="s">
        <v>12</v>
      </c>
      <c r="V8" s="3" t="s">
        <v>13</v>
      </c>
      <c r="W8" s="49" t="s">
        <v>58</v>
      </c>
      <c r="X8" s="3" t="s">
        <v>14</v>
      </c>
      <c r="Y8" s="1"/>
    </row>
    <row r="9" spans="1:25" ht="15.75">
      <c r="A9" s="3" t="s">
        <v>15</v>
      </c>
      <c r="B9" s="44">
        <v>125621</v>
      </c>
      <c r="C9" s="44">
        <v>120306</v>
      </c>
      <c r="D9" s="44">
        <v>245927</v>
      </c>
      <c r="E9" s="44">
        <v>147411</v>
      </c>
      <c r="F9" s="44">
        <v>148253</v>
      </c>
      <c r="G9" s="44">
        <v>295664</v>
      </c>
      <c r="H9" s="44">
        <v>158762</v>
      </c>
      <c r="I9" s="44">
        <v>161799</v>
      </c>
      <c r="J9" s="44">
        <v>320561</v>
      </c>
      <c r="K9" s="60">
        <v>167067</v>
      </c>
      <c r="L9" s="60">
        <v>166543</v>
      </c>
      <c r="M9" s="60">
        <v>333610</v>
      </c>
      <c r="N9" s="71">
        <f>215791+2576</f>
        <v>218367</v>
      </c>
      <c r="O9" s="71">
        <f>220474+2596</f>
        <v>223070</v>
      </c>
      <c r="P9" s="62">
        <f t="shared" ref="P9:P14" si="0">SUM(N9:O9)</f>
        <v>441437</v>
      </c>
      <c r="Q9" s="71"/>
      <c r="R9" s="71"/>
      <c r="S9" s="71"/>
      <c r="T9" s="7"/>
      <c r="U9" s="7"/>
      <c r="V9" s="7"/>
      <c r="W9" s="7">
        <v>2019648</v>
      </c>
      <c r="X9" s="7"/>
      <c r="Y9" s="1"/>
    </row>
    <row r="10" spans="1:25" ht="15.75">
      <c r="A10" s="3" t="s">
        <v>16</v>
      </c>
      <c r="B10" s="44">
        <v>101788</v>
      </c>
      <c r="C10" s="44">
        <v>102519</v>
      </c>
      <c r="D10" s="44">
        <v>204307</v>
      </c>
      <c r="E10" s="44">
        <v>86258</v>
      </c>
      <c r="F10" s="44">
        <v>100698</v>
      </c>
      <c r="G10" s="44">
        <v>186956</v>
      </c>
      <c r="H10" s="44">
        <v>102274</v>
      </c>
      <c r="I10" s="44">
        <v>110832</v>
      </c>
      <c r="J10" s="44">
        <v>213106</v>
      </c>
      <c r="K10" s="60">
        <v>122459</v>
      </c>
      <c r="L10" s="60">
        <v>120446</v>
      </c>
      <c r="M10" s="60">
        <v>242905</v>
      </c>
      <c r="N10" s="71">
        <f>97108+1003</f>
        <v>98111</v>
      </c>
      <c r="O10" s="71">
        <f>105692+902</f>
        <v>106594</v>
      </c>
      <c r="P10" s="62">
        <f t="shared" si="0"/>
        <v>204705</v>
      </c>
      <c r="Q10" s="71"/>
      <c r="R10" s="71"/>
      <c r="S10" s="71"/>
      <c r="T10" s="7"/>
      <c r="U10" s="7"/>
      <c r="V10" s="7"/>
      <c r="W10" s="7">
        <v>1298522</v>
      </c>
      <c r="X10" s="7"/>
      <c r="Y10" s="1"/>
    </row>
    <row r="11" spans="1:25" ht="15.75">
      <c r="A11" s="3" t="s">
        <v>17</v>
      </c>
      <c r="B11" s="44">
        <v>105088</v>
      </c>
      <c r="C11" s="44">
        <v>95260</v>
      </c>
      <c r="D11" s="44">
        <v>200348</v>
      </c>
      <c r="E11" s="44">
        <v>135264</v>
      </c>
      <c r="F11" s="44">
        <v>137409</v>
      </c>
      <c r="G11" s="44">
        <v>272673</v>
      </c>
      <c r="H11" s="44">
        <v>134713</v>
      </c>
      <c r="I11" s="44">
        <v>139266</v>
      </c>
      <c r="J11" s="44">
        <v>273979</v>
      </c>
      <c r="K11" s="61">
        <v>138919</v>
      </c>
      <c r="L11" s="61">
        <v>137853</v>
      </c>
      <c r="M11" s="60">
        <v>276772</v>
      </c>
      <c r="N11" s="71">
        <f>129064+5232</f>
        <v>134296</v>
      </c>
      <c r="O11" s="71">
        <f>128234+5826</f>
        <v>134060</v>
      </c>
      <c r="P11" s="62">
        <f t="shared" si="0"/>
        <v>268356</v>
      </c>
      <c r="Q11" s="71"/>
      <c r="R11" s="71"/>
      <c r="S11" s="71"/>
      <c r="T11" s="7"/>
      <c r="U11" s="7"/>
      <c r="V11" s="7"/>
      <c r="W11" s="7">
        <v>1710991</v>
      </c>
      <c r="X11" s="7"/>
      <c r="Y11" s="1"/>
    </row>
    <row r="12" spans="1:25" ht="15.75">
      <c r="A12" s="3" t="s">
        <v>18</v>
      </c>
      <c r="B12" s="44">
        <v>24773</v>
      </c>
      <c r="C12" s="44">
        <v>21940</v>
      </c>
      <c r="D12" s="44">
        <v>46713</v>
      </c>
      <c r="E12" s="44">
        <v>22749</v>
      </c>
      <c r="F12" s="44">
        <v>22257</v>
      </c>
      <c r="G12" s="44">
        <v>45006</v>
      </c>
      <c r="H12" s="44">
        <v>20262</v>
      </c>
      <c r="I12" s="44">
        <v>21113</v>
      </c>
      <c r="J12" s="44">
        <v>41375</v>
      </c>
      <c r="K12" s="61">
        <v>25164</v>
      </c>
      <c r="L12" s="61">
        <v>25597</v>
      </c>
      <c r="M12" s="60">
        <v>50761</v>
      </c>
      <c r="N12" s="71">
        <f>24340+1623</f>
        <v>25963</v>
      </c>
      <c r="O12" s="71">
        <f>21710+2306</f>
        <v>24016</v>
      </c>
      <c r="P12" s="62">
        <f t="shared" si="0"/>
        <v>49979</v>
      </c>
      <c r="Q12" s="71"/>
      <c r="R12" s="71"/>
      <c r="S12" s="71"/>
      <c r="T12" s="7"/>
      <c r="U12" s="7"/>
      <c r="V12" s="7"/>
      <c r="W12" s="7">
        <v>256365</v>
      </c>
      <c r="X12" s="7"/>
      <c r="Y12" s="1"/>
    </row>
    <row r="13" spans="1:25" ht="15.75">
      <c r="A13" s="3" t="s">
        <v>19</v>
      </c>
      <c r="B13" s="44">
        <v>36966</v>
      </c>
      <c r="C13" s="44">
        <v>41461</v>
      </c>
      <c r="D13" s="44">
        <v>78427</v>
      </c>
      <c r="E13" s="44">
        <v>49097</v>
      </c>
      <c r="F13" s="44">
        <v>49761</v>
      </c>
      <c r="G13" s="44">
        <v>98858</v>
      </c>
      <c r="H13" s="44">
        <v>52721</v>
      </c>
      <c r="I13" s="44">
        <v>52983</v>
      </c>
      <c r="J13" s="44">
        <v>105704</v>
      </c>
      <c r="K13" s="61">
        <v>55827</v>
      </c>
      <c r="L13" s="61">
        <v>166543</v>
      </c>
      <c r="M13" s="60">
        <v>222370</v>
      </c>
      <c r="N13" s="71">
        <f>51360+17587</f>
        <v>68947</v>
      </c>
      <c r="O13" s="71">
        <f>50899+1459</f>
        <v>52358</v>
      </c>
      <c r="P13" s="62">
        <f t="shared" si="0"/>
        <v>121305</v>
      </c>
      <c r="Q13" s="71"/>
      <c r="R13" s="71"/>
      <c r="S13" s="71"/>
      <c r="T13" s="7"/>
      <c r="U13" s="7"/>
      <c r="V13" s="7"/>
      <c r="W13" s="7">
        <v>594887</v>
      </c>
      <c r="X13" s="7"/>
      <c r="Y13" s="1"/>
    </row>
    <row r="14" spans="1:25" ht="15.75">
      <c r="A14" s="3" t="s">
        <v>20</v>
      </c>
      <c r="B14" s="44">
        <v>6245</v>
      </c>
      <c r="C14" s="44">
        <v>6337</v>
      </c>
      <c r="D14" s="44">
        <v>12582</v>
      </c>
      <c r="E14" s="44">
        <v>2889</v>
      </c>
      <c r="F14" s="44">
        <v>3060</v>
      </c>
      <c r="G14" s="44">
        <v>5949</v>
      </c>
      <c r="H14" s="44">
        <v>3585</v>
      </c>
      <c r="I14" s="44">
        <v>3700</v>
      </c>
      <c r="J14" s="44">
        <v>7285</v>
      </c>
      <c r="K14" s="61">
        <v>5647</v>
      </c>
      <c r="L14" s="61">
        <v>5416</v>
      </c>
      <c r="M14" s="60">
        <v>11063</v>
      </c>
      <c r="N14" s="71">
        <f>3717+28</f>
        <v>3745</v>
      </c>
      <c r="O14" s="71">
        <f>3588+45</f>
        <v>3633</v>
      </c>
      <c r="P14" s="62">
        <f t="shared" si="0"/>
        <v>7378</v>
      </c>
      <c r="Q14" s="71"/>
      <c r="R14" s="71"/>
      <c r="S14" s="71"/>
      <c r="T14" s="7"/>
      <c r="U14" s="7"/>
      <c r="V14" s="7"/>
      <c r="W14" s="7">
        <v>33540</v>
      </c>
      <c r="X14" s="7"/>
      <c r="Y14" s="1"/>
    </row>
    <row r="15" spans="1:25" ht="15.75">
      <c r="A15" s="3" t="s">
        <v>21</v>
      </c>
      <c r="B15" s="44">
        <v>7154</v>
      </c>
      <c r="C15" s="44">
        <v>8847</v>
      </c>
      <c r="D15" s="44">
        <v>16001</v>
      </c>
      <c r="E15" s="44">
        <v>8878</v>
      </c>
      <c r="F15" s="44">
        <v>8758</v>
      </c>
      <c r="G15" s="44">
        <v>17636</v>
      </c>
      <c r="H15" s="44">
        <v>8949</v>
      </c>
      <c r="I15" s="44">
        <v>8596</v>
      </c>
      <c r="J15" s="44">
        <v>17545</v>
      </c>
      <c r="K15" s="60">
        <v>9214</v>
      </c>
      <c r="L15" s="60">
        <v>9761</v>
      </c>
      <c r="M15" s="60">
        <v>18975</v>
      </c>
      <c r="N15" s="61">
        <v>9819</v>
      </c>
      <c r="O15" s="61">
        <v>10161</v>
      </c>
      <c r="P15" s="61">
        <v>19980</v>
      </c>
      <c r="Q15" s="71"/>
      <c r="R15" s="71"/>
      <c r="S15" s="71"/>
      <c r="T15" s="7"/>
      <c r="U15" s="7"/>
      <c r="V15" s="7"/>
      <c r="W15" s="7">
        <v>140514</v>
      </c>
      <c r="X15" s="7"/>
      <c r="Y15" s="1"/>
    </row>
    <row r="16" spans="1:25" ht="15.75">
      <c r="A16" s="3" t="s">
        <v>22</v>
      </c>
      <c r="B16" s="44">
        <v>2100</v>
      </c>
      <c r="C16" s="44">
        <v>1758</v>
      </c>
      <c r="D16" s="44">
        <v>3858</v>
      </c>
      <c r="E16" s="44">
        <v>3760</v>
      </c>
      <c r="F16" s="44">
        <v>4802</v>
      </c>
      <c r="G16" s="44">
        <v>8562</v>
      </c>
      <c r="H16" s="44">
        <v>2748</v>
      </c>
      <c r="I16" s="44">
        <v>4615</v>
      </c>
      <c r="J16" s="44">
        <v>7363</v>
      </c>
      <c r="K16" s="60">
        <v>4779</v>
      </c>
      <c r="L16" s="60">
        <v>7027</v>
      </c>
      <c r="M16" s="60">
        <v>11806</v>
      </c>
      <c r="N16" s="61">
        <v>5779</v>
      </c>
      <c r="O16" s="61">
        <v>5476</v>
      </c>
      <c r="P16" s="61">
        <v>11255</v>
      </c>
      <c r="Q16" s="71"/>
      <c r="R16" s="71"/>
      <c r="S16" s="71"/>
      <c r="T16" s="7"/>
      <c r="U16" s="7"/>
      <c r="V16" s="7"/>
      <c r="W16" s="7">
        <v>47354</v>
      </c>
      <c r="X16" s="7"/>
      <c r="Y16" s="1"/>
    </row>
    <row r="17" spans="1:24" ht="15.75">
      <c r="A17" s="3" t="s">
        <v>23</v>
      </c>
      <c r="B17" s="44">
        <v>4719</v>
      </c>
      <c r="C17" s="44">
        <v>6307</v>
      </c>
      <c r="D17" s="44">
        <v>11026</v>
      </c>
      <c r="E17" s="44">
        <v>19950</v>
      </c>
      <c r="F17" s="44">
        <v>12961</v>
      </c>
      <c r="G17" s="44">
        <v>32911</v>
      </c>
      <c r="H17" s="45"/>
      <c r="I17" s="45"/>
      <c r="J17" s="45"/>
      <c r="K17" s="60">
        <v>6677</v>
      </c>
      <c r="L17" s="60">
        <v>5752</v>
      </c>
      <c r="M17" s="60">
        <v>12429</v>
      </c>
      <c r="N17" s="61"/>
      <c r="O17" s="61"/>
      <c r="P17" s="59"/>
      <c r="Q17" s="71"/>
      <c r="R17" s="71"/>
      <c r="S17" s="71"/>
      <c r="T17" s="7"/>
      <c r="U17" s="7"/>
      <c r="V17" s="7"/>
      <c r="W17" s="7">
        <v>135504</v>
      </c>
      <c r="X17" s="7"/>
    </row>
    <row r="18" spans="1:24" ht="15.75">
      <c r="A18" s="3" t="s">
        <v>24</v>
      </c>
      <c r="B18" s="44">
        <v>9430</v>
      </c>
      <c r="C18" s="44">
        <v>9482</v>
      </c>
      <c r="D18" s="44">
        <v>18912</v>
      </c>
      <c r="E18" s="44">
        <v>11906</v>
      </c>
      <c r="F18" s="44">
        <v>11968</v>
      </c>
      <c r="G18" s="44">
        <v>23874</v>
      </c>
      <c r="H18" s="44">
        <v>13308</v>
      </c>
      <c r="I18" s="44">
        <v>12438</v>
      </c>
      <c r="J18" s="44">
        <v>25746</v>
      </c>
      <c r="K18" s="60">
        <v>16269</v>
      </c>
      <c r="L18" s="60">
        <v>15612</v>
      </c>
      <c r="M18" s="60">
        <v>31881</v>
      </c>
      <c r="N18" s="61">
        <v>12435</v>
      </c>
      <c r="O18" s="61">
        <v>12837</v>
      </c>
      <c r="P18" s="62">
        <v>25272</v>
      </c>
      <c r="Q18" s="71">
        <f>14998+112</f>
        <v>15110</v>
      </c>
      <c r="R18" s="71">
        <f>15041+162</f>
        <v>15203</v>
      </c>
      <c r="S18" s="71">
        <f>SUM(Q18:R18)</f>
        <v>30313</v>
      </c>
      <c r="T18" s="7"/>
      <c r="U18" s="7"/>
      <c r="V18" s="7"/>
      <c r="W18" s="7">
        <v>144482</v>
      </c>
      <c r="X18" s="7"/>
    </row>
    <row r="19" spans="1:24" ht="15.75">
      <c r="A19" s="3" t="s">
        <v>25</v>
      </c>
      <c r="B19" s="44">
        <v>3667</v>
      </c>
      <c r="C19" s="44">
        <v>4083</v>
      </c>
      <c r="D19" s="44">
        <v>7750</v>
      </c>
      <c r="E19" s="44">
        <v>5149</v>
      </c>
      <c r="F19" s="44">
        <v>4884</v>
      </c>
      <c r="G19" s="44">
        <v>10033</v>
      </c>
      <c r="H19" s="44">
        <v>4770</v>
      </c>
      <c r="I19" s="44">
        <v>5272</v>
      </c>
      <c r="J19" s="44">
        <v>10042</v>
      </c>
      <c r="K19" s="61">
        <v>6107</v>
      </c>
      <c r="L19" s="61">
        <v>6168</v>
      </c>
      <c r="M19" s="60">
        <v>12275</v>
      </c>
      <c r="N19" s="61"/>
      <c r="O19" s="61"/>
      <c r="P19" s="59"/>
      <c r="Q19" s="71">
        <f>3565+835</f>
        <v>4400</v>
      </c>
      <c r="R19" s="71">
        <f>3265+79</f>
        <v>3344</v>
      </c>
      <c r="S19" s="71">
        <f>SUM(Q19:R19)</f>
        <v>7744</v>
      </c>
      <c r="T19" s="7"/>
      <c r="U19" s="7"/>
      <c r="V19" s="7"/>
      <c r="W19" s="7">
        <v>51579</v>
      </c>
      <c r="X19" s="7"/>
    </row>
    <row r="20" spans="1:24" ht="15.75">
      <c r="A20" s="3" t="s">
        <v>26</v>
      </c>
      <c r="B20" s="44">
        <v>5</v>
      </c>
      <c r="C20" s="44">
        <v>2</v>
      </c>
      <c r="D20" s="44">
        <v>7</v>
      </c>
      <c r="E20" s="44">
        <v>0</v>
      </c>
      <c r="F20" s="44">
        <v>0</v>
      </c>
      <c r="G20" s="44">
        <v>0</v>
      </c>
      <c r="H20" s="44">
        <v>2</v>
      </c>
      <c r="I20" s="44">
        <v>6</v>
      </c>
      <c r="J20" s="44">
        <v>8</v>
      </c>
      <c r="K20" s="61">
        <v>4779</v>
      </c>
      <c r="L20" s="61">
        <v>7027</v>
      </c>
      <c r="M20" s="60">
        <v>11806</v>
      </c>
      <c r="N20" s="61"/>
      <c r="O20" s="61"/>
      <c r="P20" s="59"/>
      <c r="Q20" s="71">
        <v>0</v>
      </c>
      <c r="R20" s="71">
        <v>0</v>
      </c>
      <c r="S20" s="71">
        <f>SUM(Q20:R20)</f>
        <v>0</v>
      </c>
      <c r="T20" s="7"/>
      <c r="U20" s="7"/>
      <c r="V20" s="7"/>
      <c r="W20" s="7">
        <v>12844</v>
      </c>
      <c r="X20" s="7"/>
    </row>
    <row r="21" spans="1:24" ht="15.75">
      <c r="A21" s="3" t="s">
        <v>27</v>
      </c>
      <c r="B21" s="44">
        <v>5778</v>
      </c>
      <c r="C21" s="44">
        <v>7262</v>
      </c>
      <c r="D21" s="44">
        <v>13040</v>
      </c>
      <c r="E21" s="44">
        <v>9134</v>
      </c>
      <c r="F21" s="44">
        <v>8222</v>
      </c>
      <c r="G21" s="44">
        <v>17356</v>
      </c>
      <c r="H21" s="44">
        <v>9831</v>
      </c>
      <c r="I21" s="44">
        <v>9257</v>
      </c>
      <c r="J21" s="44">
        <v>19088</v>
      </c>
      <c r="K21" s="60">
        <v>9372</v>
      </c>
      <c r="L21" s="60">
        <v>9322</v>
      </c>
      <c r="M21" s="60">
        <v>18694</v>
      </c>
      <c r="N21" s="61">
        <v>9868</v>
      </c>
      <c r="O21" s="61">
        <v>9176</v>
      </c>
      <c r="P21" s="60">
        <v>19044</v>
      </c>
      <c r="Q21" s="71">
        <v>8897</v>
      </c>
      <c r="R21" s="71">
        <v>8928</v>
      </c>
      <c r="S21" s="71">
        <f>SUM(Q21:R21)</f>
        <v>17825</v>
      </c>
      <c r="T21" s="7"/>
      <c r="U21" s="7"/>
      <c r="V21" s="7"/>
      <c r="W21" s="7">
        <v>89445</v>
      </c>
      <c r="X21" s="7"/>
    </row>
    <row r="22" spans="1:24" ht="15.75">
      <c r="A22" s="3" t="s">
        <v>28</v>
      </c>
      <c r="B22" s="44">
        <v>0</v>
      </c>
      <c r="C22" s="44">
        <v>2</v>
      </c>
      <c r="D22" s="44">
        <v>2</v>
      </c>
      <c r="E22" s="44">
        <v>3</v>
      </c>
      <c r="F22" s="44">
        <v>3</v>
      </c>
      <c r="G22" s="44">
        <v>6</v>
      </c>
      <c r="H22" s="44">
        <v>1</v>
      </c>
      <c r="I22" s="44">
        <v>1</v>
      </c>
      <c r="J22" s="44">
        <v>2</v>
      </c>
      <c r="K22" s="59">
        <v>1</v>
      </c>
      <c r="L22" s="59">
        <v>1</v>
      </c>
      <c r="M22" s="60">
        <v>2</v>
      </c>
      <c r="N22" s="61">
        <v>1</v>
      </c>
      <c r="O22" s="61">
        <v>1</v>
      </c>
      <c r="P22" s="60">
        <v>2</v>
      </c>
      <c r="Q22" s="71">
        <v>0</v>
      </c>
      <c r="R22" s="71">
        <v>0</v>
      </c>
      <c r="S22" s="71">
        <f>SUM(Q22:R22)</f>
        <v>0</v>
      </c>
      <c r="T22" s="7"/>
      <c r="U22" s="7"/>
      <c r="V22" s="7"/>
      <c r="W22" s="7">
        <v>63</v>
      </c>
      <c r="X22" s="7"/>
    </row>
    <row r="23" spans="1:24" ht="15.75">
      <c r="A23" s="3" t="s">
        <v>29</v>
      </c>
      <c r="B23" s="44">
        <v>1943</v>
      </c>
      <c r="C23" s="44">
        <v>2482</v>
      </c>
      <c r="D23" s="44">
        <v>4425</v>
      </c>
      <c r="E23" s="44">
        <v>3112</v>
      </c>
      <c r="F23" s="44">
        <v>3306</v>
      </c>
      <c r="G23" s="44">
        <v>6418</v>
      </c>
      <c r="H23" s="44">
        <v>3504</v>
      </c>
      <c r="I23" s="44">
        <v>2978</v>
      </c>
      <c r="J23" s="44">
        <v>6482</v>
      </c>
      <c r="K23" s="60">
        <v>3436</v>
      </c>
      <c r="L23" s="60">
        <v>3693</v>
      </c>
      <c r="M23" s="60">
        <v>7129</v>
      </c>
      <c r="N23" s="61">
        <v>2859</v>
      </c>
      <c r="O23" s="61">
        <v>2950</v>
      </c>
      <c r="P23" s="60">
        <v>5809</v>
      </c>
      <c r="Q23" s="71"/>
      <c r="R23" s="71"/>
      <c r="S23" s="71"/>
      <c r="T23" s="7"/>
      <c r="U23" s="7"/>
      <c r="V23" s="7"/>
      <c r="W23" s="7">
        <v>32745</v>
      </c>
      <c r="X23" s="7"/>
    </row>
    <row r="24" spans="1:24" ht="15.75">
      <c r="A24" s="3" t="s">
        <v>30</v>
      </c>
      <c r="B24" s="44">
        <v>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59">
        <v>23</v>
      </c>
      <c r="L24" s="59">
        <v>18</v>
      </c>
      <c r="M24" s="60">
        <v>41</v>
      </c>
      <c r="N24" s="61">
        <v>7</v>
      </c>
      <c r="O24" s="61">
        <v>5</v>
      </c>
      <c r="P24" s="60">
        <v>12</v>
      </c>
      <c r="Q24" s="71"/>
      <c r="R24" s="71"/>
      <c r="S24" s="71"/>
      <c r="T24" s="7"/>
      <c r="U24" s="7"/>
      <c r="V24" s="7"/>
      <c r="W24" s="7">
        <v>48</v>
      </c>
      <c r="X24" s="7"/>
    </row>
    <row r="25" spans="1:24" ht="15.75">
      <c r="A25" s="3" t="s">
        <v>31</v>
      </c>
      <c r="B25" s="44">
        <v>6953</v>
      </c>
      <c r="C25" s="44">
        <v>7340</v>
      </c>
      <c r="D25" s="44">
        <v>14293</v>
      </c>
      <c r="E25" s="44">
        <v>9827</v>
      </c>
      <c r="F25" s="44">
        <v>9969</v>
      </c>
      <c r="G25" s="44">
        <v>19796</v>
      </c>
      <c r="H25" s="44">
        <v>10964</v>
      </c>
      <c r="I25" s="44">
        <v>10336</v>
      </c>
      <c r="J25" s="44">
        <v>21300</v>
      </c>
      <c r="K25" s="60">
        <v>10691</v>
      </c>
      <c r="L25" s="60">
        <v>10897</v>
      </c>
      <c r="M25" s="60">
        <v>21588</v>
      </c>
      <c r="N25" s="61">
        <v>10208</v>
      </c>
      <c r="O25" s="61">
        <v>9943</v>
      </c>
      <c r="P25" s="60">
        <v>20151</v>
      </c>
      <c r="Q25" s="71">
        <f>7031+365</f>
        <v>7396</v>
      </c>
      <c r="R25" s="71">
        <f>6750+347</f>
        <v>7097</v>
      </c>
      <c r="S25" s="71">
        <f>SUM(Q25:R25)</f>
        <v>14493</v>
      </c>
      <c r="T25" s="7"/>
      <c r="U25" s="7"/>
      <c r="V25" s="7"/>
      <c r="W25" s="7">
        <v>167805</v>
      </c>
      <c r="X25" s="7"/>
    </row>
    <row r="26" spans="1:24" ht="15.75">
      <c r="A26" s="3" t="s">
        <v>32</v>
      </c>
      <c r="B26" s="44">
        <v>2934</v>
      </c>
      <c r="C26" s="44">
        <v>3559</v>
      </c>
      <c r="D26" s="44">
        <v>6493</v>
      </c>
      <c r="E26" s="44">
        <v>4493</v>
      </c>
      <c r="F26" s="44">
        <v>4118</v>
      </c>
      <c r="G26" s="44">
        <v>8611</v>
      </c>
      <c r="H26" s="44">
        <v>4309</v>
      </c>
      <c r="I26" s="44">
        <v>3883</v>
      </c>
      <c r="J26" s="44">
        <v>8192</v>
      </c>
      <c r="K26" s="60">
        <v>4926</v>
      </c>
      <c r="L26" s="60">
        <v>5121</v>
      </c>
      <c r="M26" s="60">
        <v>10047</v>
      </c>
      <c r="N26" s="61">
        <v>3331</v>
      </c>
      <c r="O26" s="61">
        <v>4232</v>
      </c>
      <c r="P26" s="60">
        <v>7563</v>
      </c>
      <c r="Q26" s="71">
        <f>2187+24</f>
        <v>2211</v>
      </c>
      <c r="R26" s="71">
        <f>2505+32</f>
        <v>2537</v>
      </c>
      <c r="S26" s="71">
        <f>SUM(Q26:R26)</f>
        <v>4748</v>
      </c>
      <c r="T26" s="7"/>
      <c r="U26" s="7"/>
      <c r="V26" s="7"/>
      <c r="W26" s="7">
        <v>51032</v>
      </c>
      <c r="X26" s="7"/>
    </row>
    <row r="27" spans="1:24" ht="15.75">
      <c r="A27" s="3" t="s">
        <v>33</v>
      </c>
      <c r="B27" s="44">
        <v>0</v>
      </c>
      <c r="C27" s="44">
        <v>0</v>
      </c>
      <c r="D27" s="44">
        <v>0</v>
      </c>
      <c r="E27" s="44">
        <v>0</v>
      </c>
      <c r="F27" s="44">
        <v>4</v>
      </c>
      <c r="G27" s="44">
        <v>4</v>
      </c>
      <c r="H27" s="44">
        <v>8</v>
      </c>
      <c r="I27" s="44">
        <v>3</v>
      </c>
      <c r="J27" s="44">
        <v>11</v>
      </c>
      <c r="K27" s="59">
        <v>4</v>
      </c>
      <c r="L27" s="59">
        <v>19</v>
      </c>
      <c r="M27" s="60">
        <v>23</v>
      </c>
      <c r="N27" s="61">
        <v>23</v>
      </c>
      <c r="O27" s="61">
        <v>5</v>
      </c>
      <c r="P27" s="60">
        <v>28</v>
      </c>
      <c r="Q27" s="71">
        <v>3</v>
      </c>
      <c r="R27" s="71">
        <v>3</v>
      </c>
      <c r="S27" s="71">
        <f>SUM(Q27:R27)</f>
        <v>6</v>
      </c>
      <c r="T27" s="7"/>
      <c r="U27" s="7"/>
      <c r="V27" s="7"/>
      <c r="W27" s="7">
        <v>226</v>
      </c>
      <c r="X27" s="7"/>
    </row>
    <row r="28" spans="1:24" ht="15.75">
      <c r="A28" s="3" t="s">
        <v>34</v>
      </c>
      <c r="B28" s="44">
        <v>1265</v>
      </c>
      <c r="C28" s="44">
        <v>1418</v>
      </c>
      <c r="D28" s="44">
        <v>2683</v>
      </c>
      <c r="E28" s="44">
        <v>1699</v>
      </c>
      <c r="F28" s="44">
        <v>1479</v>
      </c>
      <c r="G28" s="44">
        <v>3178</v>
      </c>
      <c r="H28" s="44">
        <v>1756</v>
      </c>
      <c r="I28" s="44">
        <v>1616</v>
      </c>
      <c r="J28" s="44">
        <v>3372</v>
      </c>
      <c r="K28" s="60">
        <v>1829</v>
      </c>
      <c r="L28" s="60">
        <v>1667</v>
      </c>
      <c r="M28" s="60">
        <v>3496</v>
      </c>
      <c r="N28" s="61">
        <f>1556+110</f>
        <v>1666</v>
      </c>
      <c r="O28" s="61">
        <f>1317+113</f>
        <v>1430</v>
      </c>
      <c r="P28" s="60">
        <f>SUM(N28:O28)</f>
        <v>3096</v>
      </c>
      <c r="Q28" s="71">
        <f>1340+16</f>
        <v>1356</v>
      </c>
      <c r="R28" s="71">
        <f>1246+13</f>
        <v>1259</v>
      </c>
      <c r="S28" s="71">
        <f>SUM(Q28:R28)</f>
        <v>2615</v>
      </c>
      <c r="T28" s="7"/>
      <c r="U28" s="7"/>
      <c r="V28" s="7"/>
      <c r="W28" s="7">
        <v>25992</v>
      </c>
      <c r="X28" s="7"/>
    </row>
    <row r="29" spans="1:24" ht="15.75">
      <c r="A29" s="3" t="s">
        <v>35</v>
      </c>
      <c r="B29" s="44"/>
      <c r="C29" s="44"/>
      <c r="D29" s="44"/>
      <c r="E29" s="44">
        <v>14957</v>
      </c>
      <c r="F29" s="44">
        <v>15192</v>
      </c>
      <c r="G29" s="44">
        <v>30149</v>
      </c>
      <c r="H29" s="44"/>
      <c r="I29" s="44"/>
      <c r="J29" s="44"/>
      <c r="K29" s="59"/>
      <c r="L29" s="59"/>
      <c r="M29" s="60"/>
      <c r="N29" s="61">
        <v>17907</v>
      </c>
      <c r="O29" s="61">
        <v>17717</v>
      </c>
      <c r="P29" s="60">
        <v>35624</v>
      </c>
      <c r="Q29" s="71"/>
      <c r="R29" s="71"/>
      <c r="S29" s="71"/>
      <c r="T29" s="7"/>
      <c r="U29" s="7"/>
      <c r="V29" s="7"/>
      <c r="W29" s="7">
        <v>144077</v>
      </c>
      <c r="X29" s="7"/>
    </row>
    <row r="30" spans="1:24" ht="15.75">
      <c r="A30" s="3" t="s">
        <v>36</v>
      </c>
      <c r="B30" s="44">
        <v>3088</v>
      </c>
      <c r="C30" s="44">
        <v>3367</v>
      </c>
      <c r="D30" s="44">
        <v>6455</v>
      </c>
      <c r="E30" s="44">
        <v>3289</v>
      </c>
      <c r="F30" s="44">
        <v>3259</v>
      </c>
      <c r="G30" s="44">
        <v>6548</v>
      </c>
      <c r="H30" s="44">
        <v>3418</v>
      </c>
      <c r="I30" s="44">
        <v>3509</v>
      </c>
      <c r="J30" s="44">
        <v>6927</v>
      </c>
      <c r="K30" s="60">
        <v>4515</v>
      </c>
      <c r="L30" s="60">
        <v>4170</v>
      </c>
      <c r="M30" s="60">
        <v>8685</v>
      </c>
      <c r="N30" s="61">
        <v>4604</v>
      </c>
      <c r="O30" s="61">
        <v>4728</v>
      </c>
      <c r="P30" s="60">
        <v>9332</v>
      </c>
      <c r="Q30" s="71">
        <f>2859+198</f>
        <v>3057</v>
      </c>
      <c r="R30" s="71">
        <f>2740+115</f>
        <v>2855</v>
      </c>
      <c r="S30" s="71">
        <f>SUM(Q30:R30)</f>
        <v>5912</v>
      </c>
      <c r="T30" s="7"/>
      <c r="U30" s="7"/>
      <c r="V30" s="7"/>
      <c r="W30" s="7">
        <v>51415</v>
      </c>
      <c r="X30" s="7"/>
    </row>
    <row r="31" spans="1:24" ht="15.75">
      <c r="A31" s="3" t="s">
        <v>37</v>
      </c>
      <c r="B31" s="44">
        <v>0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59">
        <v>0</v>
      </c>
      <c r="L31" s="59">
        <v>0</v>
      </c>
      <c r="M31" s="60">
        <v>0</v>
      </c>
      <c r="N31" s="61">
        <v>0</v>
      </c>
      <c r="O31" s="61">
        <v>0</v>
      </c>
      <c r="P31" s="60">
        <v>0</v>
      </c>
      <c r="Q31" s="71">
        <v>0</v>
      </c>
      <c r="R31" s="71">
        <v>0</v>
      </c>
      <c r="S31" s="71">
        <f>SUM(Q31:R31)</f>
        <v>0</v>
      </c>
      <c r="T31" s="7"/>
      <c r="U31" s="7"/>
      <c r="V31" s="7"/>
      <c r="W31" s="7">
        <v>0</v>
      </c>
      <c r="X31" s="7"/>
    </row>
    <row r="32" spans="1:24" ht="15.75">
      <c r="A32" s="3" t="s">
        <v>38</v>
      </c>
      <c r="B32" s="44">
        <v>1919</v>
      </c>
      <c r="C32" s="44">
        <v>987</v>
      </c>
      <c r="D32" s="44">
        <v>2906</v>
      </c>
      <c r="E32" s="44">
        <v>2000</v>
      </c>
      <c r="F32" s="44">
        <v>1826</v>
      </c>
      <c r="G32" s="44">
        <v>3826</v>
      </c>
      <c r="H32" s="44">
        <v>2157</v>
      </c>
      <c r="I32" s="44">
        <v>2156</v>
      </c>
      <c r="J32" s="44">
        <v>4313</v>
      </c>
      <c r="K32" s="60">
        <v>2210</v>
      </c>
      <c r="L32" s="60">
        <v>2009</v>
      </c>
      <c r="M32" s="60">
        <v>4219</v>
      </c>
      <c r="N32" s="61">
        <v>2008</v>
      </c>
      <c r="O32" s="61">
        <v>1834</v>
      </c>
      <c r="P32" s="60">
        <v>3842</v>
      </c>
      <c r="Q32" s="71">
        <f>1254+37</f>
        <v>1291</v>
      </c>
      <c r="R32" s="71">
        <f>1302+53</f>
        <v>1355</v>
      </c>
      <c r="S32" s="71">
        <f>SUM(Q32:R32)</f>
        <v>2646</v>
      </c>
      <c r="T32" s="7"/>
      <c r="U32" s="7"/>
      <c r="V32" s="7"/>
      <c r="W32" s="7">
        <v>22122</v>
      </c>
      <c r="X32" s="7"/>
    </row>
    <row r="33" spans="1:24" ht="15.75">
      <c r="A33" s="3" t="s">
        <v>39</v>
      </c>
      <c r="B33" s="44">
        <v>0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59">
        <v>0</v>
      </c>
      <c r="L33" s="59">
        <v>0</v>
      </c>
      <c r="M33" s="60">
        <v>0</v>
      </c>
      <c r="N33" s="61">
        <v>0</v>
      </c>
      <c r="O33" s="61">
        <v>0</v>
      </c>
      <c r="P33" s="60">
        <v>0</v>
      </c>
      <c r="Q33" s="71">
        <v>0</v>
      </c>
      <c r="R33" s="71">
        <v>0</v>
      </c>
      <c r="S33" s="71">
        <f>SUM(Q33:R33)</f>
        <v>0</v>
      </c>
      <c r="T33" s="7"/>
      <c r="U33" s="7"/>
      <c r="V33" s="7"/>
      <c r="W33" s="7">
        <v>3274</v>
      </c>
      <c r="X33" s="7"/>
    </row>
    <row r="34" spans="1:24" ht="15.75">
      <c r="A34" s="3" t="s">
        <v>40</v>
      </c>
      <c r="B34" s="44">
        <v>1032</v>
      </c>
      <c r="C34" s="44">
        <v>1177</v>
      </c>
      <c r="D34" s="44">
        <v>2209</v>
      </c>
      <c r="E34" s="44">
        <v>1924</v>
      </c>
      <c r="F34" s="44">
        <v>1922</v>
      </c>
      <c r="G34" s="44">
        <v>3846</v>
      </c>
      <c r="H34" s="44">
        <v>2349</v>
      </c>
      <c r="I34" s="44">
        <v>2124</v>
      </c>
      <c r="J34" s="44">
        <v>4473</v>
      </c>
      <c r="K34" s="60">
        <v>2322</v>
      </c>
      <c r="L34" s="60">
        <v>2080</v>
      </c>
      <c r="M34" s="60">
        <v>4402</v>
      </c>
      <c r="N34" s="61">
        <f>1935+85</f>
        <v>2020</v>
      </c>
      <c r="O34" s="61">
        <f>1995+57</f>
        <v>2052</v>
      </c>
      <c r="P34" s="60">
        <f>SUM(N34:O34)</f>
        <v>4072</v>
      </c>
      <c r="Q34" s="71"/>
      <c r="R34" s="71"/>
      <c r="S34" s="71"/>
      <c r="T34" s="7"/>
      <c r="U34" s="7"/>
      <c r="V34" s="7"/>
      <c r="W34" s="7">
        <v>16959</v>
      </c>
      <c r="X34" s="7"/>
    </row>
    <row r="35" spans="1:24" ht="15.75">
      <c r="A35" s="3" t="s">
        <v>41</v>
      </c>
      <c r="B35" s="44">
        <v>16</v>
      </c>
      <c r="C35" s="44">
        <v>14</v>
      </c>
      <c r="D35" s="44">
        <v>30</v>
      </c>
      <c r="E35" s="44">
        <v>275</v>
      </c>
      <c r="F35" s="44">
        <v>236</v>
      </c>
      <c r="G35" s="44">
        <v>511</v>
      </c>
      <c r="H35" s="44">
        <v>115</v>
      </c>
      <c r="I35" s="44">
        <v>108</v>
      </c>
      <c r="J35" s="44">
        <v>223</v>
      </c>
      <c r="K35" s="59">
        <v>230</v>
      </c>
      <c r="L35" s="59">
        <v>306</v>
      </c>
      <c r="M35" s="60">
        <v>536</v>
      </c>
      <c r="N35" s="61">
        <v>59</v>
      </c>
      <c r="O35" s="61">
        <v>64</v>
      </c>
      <c r="P35" s="60">
        <v>123</v>
      </c>
      <c r="Q35" s="71"/>
      <c r="R35" s="71"/>
      <c r="S35" s="71"/>
      <c r="T35" s="7"/>
      <c r="U35" s="7"/>
      <c r="V35" s="7"/>
      <c r="W35" s="7">
        <v>600</v>
      </c>
      <c r="X35" s="7"/>
    </row>
    <row r="36" spans="1:24" ht="15.75">
      <c r="A36" s="3" t="s">
        <v>42</v>
      </c>
      <c r="B36" s="44">
        <v>0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59">
        <v>0</v>
      </c>
      <c r="L36" s="59">
        <v>0</v>
      </c>
      <c r="M36" s="60">
        <v>0</v>
      </c>
      <c r="N36" s="61">
        <v>0</v>
      </c>
      <c r="O36" s="61">
        <v>0</v>
      </c>
      <c r="P36" s="60">
        <v>0</v>
      </c>
      <c r="Q36" s="71"/>
      <c r="R36" s="71"/>
      <c r="S36" s="71"/>
      <c r="T36" s="7"/>
      <c r="U36" s="7"/>
      <c r="V36" s="7"/>
      <c r="W36" s="7">
        <v>0</v>
      </c>
      <c r="X36" s="7"/>
    </row>
    <row r="37" spans="1:24" ht="15.75">
      <c r="A37" s="3" t="s">
        <v>43</v>
      </c>
      <c r="B37" s="44">
        <v>175</v>
      </c>
      <c r="C37" s="44">
        <v>198</v>
      </c>
      <c r="D37" s="44">
        <v>373</v>
      </c>
      <c r="E37" s="44">
        <v>334</v>
      </c>
      <c r="F37" s="44">
        <v>305</v>
      </c>
      <c r="G37" s="44">
        <v>639</v>
      </c>
      <c r="H37" s="44">
        <v>266</v>
      </c>
      <c r="I37" s="44">
        <v>256</v>
      </c>
      <c r="J37" s="44">
        <v>522</v>
      </c>
      <c r="K37" s="59">
        <v>236</v>
      </c>
      <c r="L37" s="59">
        <v>269</v>
      </c>
      <c r="M37" s="60">
        <v>505</v>
      </c>
      <c r="N37" s="61">
        <v>268</v>
      </c>
      <c r="O37" s="61">
        <v>293</v>
      </c>
      <c r="P37" s="60">
        <v>561</v>
      </c>
      <c r="Q37" s="71">
        <f>25+143</f>
        <v>168</v>
      </c>
      <c r="R37" s="71">
        <f>35+128</f>
        <v>163</v>
      </c>
      <c r="S37" s="71">
        <f>SUM(Q37:R37)</f>
        <v>331</v>
      </c>
      <c r="T37" s="7"/>
      <c r="U37" s="7"/>
      <c r="V37" s="7"/>
      <c r="W37" s="7">
        <v>2850</v>
      </c>
      <c r="X37" s="7"/>
    </row>
    <row r="38" spans="1:24" ht="15.75">
      <c r="A38" s="3" t="s">
        <v>44</v>
      </c>
      <c r="B38" s="44">
        <v>106</v>
      </c>
      <c r="C38" s="44">
        <v>106</v>
      </c>
      <c r="D38" s="44">
        <v>212</v>
      </c>
      <c r="E38" s="44">
        <v>200</v>
      </c>
      <c r="F38" s="44">
        <v>219</v>
      </c>
      <c r="G38" s="44">
        <v>419</v>
      </c>
      <c r="H38" s="44">
        <v>66</v>
      </c>
      <c r="I38" s="44">
        <v>78</v>
      </c>
      <c r="J38" s="44">
        <v>144</v>
      </c>
      <c r="K38" s="59">
        <v>28</v>
      </c>
      <c r="L38" s="59">
        <v>55</v>
      </c>
      <c r="M38" s="60">
        <v>83</v>
      </c>
      <c r="N38" s="61"/>
      <c r="O38" s="61"/>
      <c r="P38" s="60"/>
      <c r="Q38" s="71"/>
      <c r="R38" s="71"/>
      <c r="S38" s="71"/>
      <c r="T38" s="7"/>
      <c r="U38" s="7"/>
      <c r="V38" s="7"/>
      <c r="W38" s="7">
        <v>4097</v>
      </c>
      <c r="X38" s="7"/>
    </row>
    <row r="39" spans="1:24" ht="15.75">
      <c r="A39" s="3" t="s">
        <v>45</v>
      </c>
      <c r="B39" s="44">
        <v>1129</v>
      </c>
      <c r="C39" s="44">
        <v>541</v>
      </c>
      <c r="D39" s="44">
        <v>1670</v>
      </c>
      <c r="E39" s="44">
        <v>0</v>
      </c>
      <c r="F39" s="44">
        <v>0</v>
      </c>
      <c r="G39" s="44">
        <v>0</v>
      </c>
      <c r="H39" s="44">
        <v>10</v>
      </c>
      <c r="I39" s="44">
        <v>5</v>
      </c>
      <c r="J39" s="44">
        <v>15</v>
      </c>
      <c r="K39" s="59">
        <v>0</v>
      </c>
      <c r="L39" s="59">
        <v>0</v>
      </c>
      <c r="M39" s="60">
        <v>0</v>
      </c>
      <c r="N39" s="61"/>
      <c r="O39" s="61"/>
      <c r="P39" s="60"/>
      <c r="Q39" s="71"/>
      <c r="R39" s="71"/>
      <c r="S39" s="71"/>
      <c r="T39" s="7"/>
      <c r="U39" s="7"/>
      <c r="V39" s="7"/>
      <c r="W39" s="7">
        <v>0</v>
      </c>
      <c r="X39" s="7"/>
    </row>
    <row r="40" spans="1:24" ht="15.75">
      <c r="A40" s="8" t="s">
        <v>46</v>
      </c>
      <c r="B40" s="43">
        <v>11</v>
      </c>
      <c r="C40" s="43">
        <v>42</v>
      </c>
      <c r="D40" s="43">
        <v>53</v>
      </c>
      <c r="E40" s="44">
        <v>52</v>
      </c>
      <c r="F40" s="44">
        <v>66</v>
      </c>
      <c r="G40" s="44">
        <v>118</v>
      </c>
      <c r="H40" s="44">
        <v>209</v>
      </c>
      <c r="I40" s="44">
        <v>178</v>
      </c>
      <c r="J40" s="44">
        <v>387</v>
      </c>
      <c r="K40" s="59">
        <v>47</v>
      </c>
      <c r="L40" s="59">
        <v>41</v>
      </c>
      <c r="M40" s="60">
        <v>88</v>
      </c>
      <c r="N40" s="61">
        <v>58</v>
      </c>
      <c r="O40" s="61">
        <v>54</v>
      </c>
      <c r="P40" s="60">
        <v>112</v>
      </c>
      <c r="Q40" s="71"/>
      <c r="R40" s="71"/>
      <c r="S40" s="71"/>
      <c r="T40" s="7"/>
      <c r="U40" s="7"/>
      <c r="V40" s="7"/>
      <c r="W40" s="7">
        <v>1233</v>
      </c>
      <c r="X40" s="7"/>
    </row>
    <row r="41" spans="1:24" ht="15.75">
      <c r="A41" s="8" t="s">
        <v>13</v>
      </c>
      <c r="B41" s="32">
        <v>453905</v>
      </c>
      <c r="C41" s="32">
        <v>446797</v>
      </c>
      <c r="D41" s="32">
        <v>900702</v>
      </c>
      <c r="E41" s="32">
        <v>544610</v>
      </c>
      <c r="F41" s="32">
        <v>554937</v>
      </c>
      <c r="G41" s="32">
        <v>1099547</v>
      </c>
      <c r="H41" s="32">
        <v>541057</v>
      </c>
      <c r="I41" s="32">
        <v>557108</v>
      </c>
      <c r="J41" s="32">
        <v>1098165</v>
      </c>
      <c r="K41" s="63">
        <v>602778</v>
      </c>
      <c r="L41" s="63">
        <v>713413</v>
      </c>
      <c r="M41" s="63">
        <v>1316191</v>
      </c>
      <c r="N41" s="31"/>
      <c r="O41" s="31"/>
      <c r="P41" s="24"/>
      <c r="Q41" s="31"/>
      <c r="R41" s="31"/>
      <c r="S41" s="31"/>
      <c r="T41" s="31"/>
      <c r="U41" s="31"/>
      <c r="V41" s="31"/>
      <c r="W41" s="31">
        <f>SUM(W9:W40)</f>
        <v>7060213</v>
      </c>
      <c r="X41" s="31"/>
    </row>
    <row r="42" spans="1:24">
      <c r="K42" s="55"/>
      <c r="L42" s="55"/>
      <c r="M42" s="55"/>
      <c r="N42" s="55"/>
      <c r="O42" s="55"/>
      <c r="P42" s="55"/>
    </row>
    <row r="43" spans="1:24" ht="15.75">
      <c r="A43" s="1"/>
      <c r="B43" s="1"/>
      <c r="C43" s="1"/>
      <c r="D43" s="1"/>
      <c r="E43" s="1"/>
      <c r="F43" s="1"/>
      <c r="G43" s="1"/>
      <c r="H43" s="1"/>
      <c r="I43" s="1"/>
      <c r="J43" s="1"/>
      <c r="K43" s="9"/>
      <c r="L43" s="9"/>
      <c r="M43" s="9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>
      <c r="A44" s="1"/>
      <c r="B44" s="9"/>
      <c r="C44" s="9" t="s">
        <v>47</v>
      </c>
      <c r="D44" s="9"/>
      <c r="E44" s="9"/>
      <c r="F44" s="1"/>
      <c r="G44" s="1"/>
      <c r="H44" s="1"/>
      <c r="I44" s="1"/>
      <c r="J44" s="1"/>
      <c r="K44" s="9" t="s">
        <v>48</v>
      </c>
      <c r="L44" s="9"/>
      <c r="M44" s="9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>
      <c r="A45" s="1"/>
      <c r="B45" s="9"/>
      <c r="C45" s="9" t="s">
        <v>49</v>
      </c>
      <c r="D45" s="9"/>
      <c r="E45" s="9"/>
      <c r="F45" s="1"/>
      <c r="G45" s="1"/>
      <c r="H45" s="1"/>
      <c r="I45" s="1"/>
      <c r="J45" s="1"/>
      <c r="K45" s="9" t="s">
        <v>50</v>
      </c>
      <c r="L45" s="9"/>
      <c r="M45" s="9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</sheetData>
  <mergeCells count="4">
    <mergeCell ref="A1:X1"/>
    <mergeCell ref="A2:Y2"/>
    <mergeCell ref="A3:X3"/>
    <mergeCell ref="A5:Y5"/>
  </mergeCells>
  <pageMargins left="0.22" right="0.15" top="0.74803149606299213" bottom="0.74803149606299213" header="0.31496062992125984" footer="0.31496062992125984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1"/>
  <sheetViews>
    <sheetView topLeftCell="H6" workbookViewId="0">
      <selection activeCell="Q11" sqref="Q11"/>
    </sheetView>
  </sheetViews>
  <sheetFormatPr defaultRowHeight="15"/>
  <cols>
    <col min="1" max="1" width="12.85546875" customWidth="1"/>
    <col min="2" max="2" width="8" customWidth="1"/>
    <col min="4" max="4" width="7.7109375" customWidth="1"/>
    <col min="8" max="8" width="8.28515625" customWidth="1"/>
    <col min="12" max="12" width="8.42578125" customWidth="1"/>
    <col min="21" max="21" width="7" customWidth="1"/>
    <col min="23" max="23" width="12.7109375" customWidth="1"/>
    <col min="24" max="24" width="15.7109375" customWidth="1"/>
  </cols>
  <sheetData>
    <row r="1" spans="1:25" ht="2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11"/>
    </row>
    <row r="2" spans="1:25" ht="2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25" ht="21">
      <c r="A3" s="73" t="s">
        <v>51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11"/>
    </row>
    <row r="5" spans="1:25" ht="18.75">
      <c r="A5" s="74" t="s">
        <v>56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</row>
    <row r="7" spans="1:25" ht="15.75">
      <c r="A7" s="12"/>
      <c r="B7" s="13"/>
      <c r="C7" s="14" t="s">
        <v>3</v>
      </c>
      <c r="D7" s="15"/>
      <c r="E7" s="13"/>
      <c r="F7" s="14" t="s">
        <v>4</v>
      </c>
      <c r="G7" s="15"/>
      <c r="H7" s="13"/>
      <c r="I7" s="14" t="s">
        <v>5</v>
      </c>
      <c r="J7" s="15"/>
      <c r="K7" s="13"/>
      <c r="L7" s="14" t="s">
        <v>6</v>
      </c>
      <c r="M7" s="15"/>
      <c r="N7" s="13"/>
      <c r="O7" s="14" t="s">
        <v>7</v>
      </c>
      <c r="P7" s="15"/>
      <c r="Q7" s="13"/>
      <c r="R7" s="14" t="s">
        <v>8</v>
      </c>
      <c r="S7" s="15"/>
      <c r="T7" s="13"/>
      <c r="U7" s="14" t="s">
        <v>9</v>
      </c>
      <c r="V7" s="15">
        <v>2012</v>
      </c>
      <c r="W7" s="49">
        <v>2011</v>
      </c>
      <c r="X7" s="15"/>
      <c r="Y7" s="10"/>
    </row>
    <row r="8" spans="1:25" ht="15.75">
      <c r="A8" s="12" t="s">
        <v>10</v>
      </c>
      <c r="B8" s="12" t="s">
        <v>11</v>
      </c>
      <c r="C8" s="12" t="s">
        <v>12</v>
      </c>
      <c r="D8" s="12" t="s">
        <v>13</v>
      </c>
      <c r="E8" s="12" t="s">
        <v>11</v>
      </c>
      <c r="F8" s="12" t="s">
        <v>12</v>
      </c>
      <c r="G8" s="12" t="s">
        <v>13</v>
      </c>
      <c r="H8" s="12" t="s">
        <v>11</v>
      </c>
      <c r="I8" s="12" t="s">
        <v>12</v>
      </c>
      <c r="J8" s="12" t="s">
        <v>13</v>
      </c>
      <c r="K8" s="12" t="s">
        <v>11</v>
      </c>
      <c r="L8" s="12" t="s">
        <v>12</v>
      </c>
      <c r="M8" s="12" t="s">
        <v>13</v>
      </c>
      <c r="N8" s="12" t="s">
        <v>11</v>
      </c>
      <c r="O8" s="12" t="s">
        <v>12</v>
      </c>
      <c r="P8" s="12" t="s">
        <v>13</v>
      </c>
      <c r="Q8" s="12" t="s">
        <v>11</v>
      </c>
      <c r="R8" s="12" t="s">
        <v>12</v>
      </c>
      <c r="S8" s="12" t="s">
        <v>13</v>
      </c>
      <c r="T8" s="12" t="s">
        <v>11</v>
      </c>
      <c r="U8" s="12" t="s">
        <v>12</v>
      </c>
      <c r="V8" s="12" t="s">
        <v>13</v>
      </c>
      <c r="W8" s="49" t="s">
        <v>58</v>
      </c>
      <c r="X8" s="12" t="s">
        <v>14</v>
      </c>
      <c r="Y8" s="10"/>
    </row>
    <row r="9" spans="1:25" ht="15.75">
      <c r="A9" s="12" t="s">
        <v>15</v>
      </c>
      <c r="B9" s="46">
        <v>3233</v>
      </c>
      <c r="C9" s="46">
        <v>3220</v>
      </c>
      <c r="D9" s="46">
        <v>6453</v>
      </c>
      <c r="E9" s="46">
        <v>3316</v>
      </c>
      <c r="F9" s="46">
        <v>3308</v>
      </c>
      <c r="G9" s="46">
        <v>6453</v>
      </c>
      <c r="H9" s="46">
        <v>3181</v>
      </c>
      <c r="I9" s="46">
        <v>3187</v>
      </c>
      <c r="J9" s="46">
        <v>6368</v>
      </c>
      <c r="K9" s="57">
        <v>3072</v>
      </c>
      <c r="L9" s="57">
        <v>3064</v>
      </c>
      <c r="M9" s="57">
        <v>6136</v>
      </c>
      <c r="N9" s="71">
        <f>2842+293+638+107</f>
        <v>3880</v>
      </c>
      <c r="O9" s="71">
        <f>2852+310+689+99</f>
        <v>3950</v>
      </c>
      <c r="P9" s="71">
        <f t="shared" ref="P9:P14" si="0">SUM(N9:O9)</f>
        <v>7830</v>
      </c>
      <c r="Q9" s="64"/>
      <c r="R9" s="64"/>
      <c r="S9" s="64"/>
      <c r="T9" s="17"/>
      <c r="U9" s="17"/>
      <c r="V9" s="17"/>
      <c r="W9" s="16">
        <v>39000</v>
      </c>
      <c r="X9" s="20"/>
      <c r="Y9" s="10"/>
    </row>
    <row r="10" spans="1:25" ht="15.75">
      <c r="A10" s="12" t="s">
        <v>16</v>
      </c>
      <c r="B10" s="46">
        <v>1062</v>
      </c>
      <c r="C10" s="46">
        <v>1057</v>
      </c>
      <c r="D10" s="46">
        <v>2119</v>
      </c>
      <c r="E10" s="46">
        <v>1074</v>
      </c>
      <c r="F10" s="46">
        <v>1090</v>
      </c>
      <c r="G10" s="46">
        <v>2119</v>
      </c>
      <c r="H10" s="46">
        <v>1060</v>
      </c>
      <c r="I10" s="46">
        <v>1061</v>
      </c>
      <c r="J10" s="46">
        <v>2121</v>
      </c>
      <c r="K10" s="57">
        <v>1062</v>
      </c>
      <c r="L10" s="57">
        <v>1075</v>
      </c>
      <c r="M10" s="57">
        <v>2137</v>
      </c>
      <c r="N10" s="71">
        <f>947+78+208</f>
        <v>1233</v>
      </c>
      <c r="O10" s="71">
        <f>931+75+208</f>
        <v>1214</v>
      </c>
      <c r="P10" s="71">
        <f t="shared" si="0"/>
        <v>2447</v>
      </c>
      <c r="Q10" s="64"/>
      <c r="R10" s="64"/>
      <c r="S10" s="64"/>
      <c r="T10" s="17"/>
      <c r="U10" s="17"/>
      <c r="V10" s="17"/>
      <c r="W10" s="16">
        <v>13138</v>
      </c>
      <c r="X10" s="20"/>
      <c r="Y10" s="10"/>
    </row>
    <row r="11" spans="1:25" ht="15.75">
      <c r="A11" s="12" t="s">
        <v>17</v>
      </c>
      <c r="B11" s="46">
        <v>1819</v>
      </c>
      <c r="C11" s="46">
        <v>1819</v>
      </c>
      <c r="D11" s="46">
        <v>3638</v>
      </c>
      <c r="E11" s="46">
        <v>2601</v>
      </c>
      <c r="F11" s="46">
        <v>2601</v>
      </c>
      <c r="G11" s="46">
        <v>3638</v>
      </c>
      <c r="H11" s="46">
        <v>2576</v>
      </c>
      <c r="I11" s="46">
        <v>2576</v>
      </c>
      <c r="J11" s="46">
        <v>5152</v>
      </c>
      <c r="K11" s="58">
        <v>2136</v>
      </c>
      <c r="L11" s="58">
        <v>2136</v>
      </c>
      <c r="M11" s="58">
        <v>4272</v>
      </c>
      <c r="N11" s="71">
        <f>1657+197</f>
        <v>1854</v>
      </c>
      <c r="O11" s="71">
        <f>1657+564</f>
        <v>2221</v>
      </c>
      <c r="P11" s="71">
        <f t="shared" si="0"/>
        <v>4075</v>
      </c>
      <c r="Q11" s="64"/>
      <c r="R11" s="64"/>
      <c r="S11" s="64"/>
      <c r="T11" s="17"/>
      <c r="U11" s="17"/>
      <c r="V11" s="17"/>
      <c r="W11" s="16">
        <v>27406</v>
      </c>
      <c r="X11" s="20"/>
      <c r="Y11" s="10"/>
    </row>
    <row r="12" spans="1:25" ht="15.75">
      <c r="A12" s="12" t="s">
        <v>18</v>
      </c>
      <c r="B12" s="46">
        <v>226</v>
      </c>
      <c r="C12" s="46">
        <v>226</v>
      </c>
      <c r="D12" s="46">
        <v>452</v>
      </c>
      <c r="E12" s="46">
        <v>363</v>
      </c>
      <c r="F12" s="46">
        <v>363</v>
      </c>
      <c r="G12" s="46">
        <v>452</v>
      </c>
      <c r="H12" s="46">
        <v>336</v>
      </c>
      <c r="I12" s="46">
        <v>336</v>
      </c>
      <c r="J12" s="46">
        <v>672</v>
      </c>
      <c r="K12" s="58">
        <v>263</v>
      </c>
      <c r="L12" s="58">
        <v>263</v>
      </c>
      <c r="M12" s="58">
        <v>526</v>
      </c>
      <c r="N12" s="71">
        <f>197+166</f>
        <v>363</v>
      </c>
      <c r="O12" s="71">
        <f>197+166</f>
        <v>363</v>
      </c>
      <c r="P12" s="71">
        <f t="shared" si="0"/>
        <v>726</v>
      </c>
      <c r="Q12" s="64"/>
      <c r="R12" s="64"/>
      <c r="S12" s="64"/>
      <c r="T12" s="17"/>
      <c r="U12" s="17"/>
      <c r="V12" s="17"/>
      <c r="W12" s="16">
        <v>3398</v>
      </c>
      <c r="X12" s="20"/>
      <c r="Y12" s="10"/>
    </row>
    <row r="13" spans="1:25" ht="15.75">
      <c r="A13" s="12" t="s">
        <v>19</v>
      </c>
      <c r="B13" s="46">
        <v>698</v>
      </c>
      <c r="C13" s="46">
        <v>699</v>
      </c>
      <c r="D13" s="46">
        <v>1397</v>
      </c>
      <c r="E13" s="46">
        <v>941</v>
      </c>
      <c r="F13" s="46">
        <v>940</v>
      </c>
      <c r="G13" s="46">
        <v>1397</v>
      </c>
      <c r="H13" s="46">
        <v>1004</v>
      </c>
      <c r="I13" s="46">
        <v>990</v>
      </c>
      <c r="J13" s="46">
        <v>1994</v>
      </c>
      <c r="K13" s="58">
        <v>964</v>
      </c>
      <c r="L13" s="58">
        <v>964</v>
      </c>
      <c r="M13" s="58">
        <v>1928</v>
      </c>
      <c r="N13" s="64">
        <f>637+252+34</f>
        <v>923</v>
      </c>
      <c r="O13" s="64">
        <f>638+253+34</f>
        <v>925</v>
      </c>
      <c r="P13" s="71">
        <f t="shared" si="0"/>
        <v>1848</v>
      </c>
      <c r="Q13" s="64"/>
      <c r="R13" s="64"/>
      <c r="S13" s="64"/>
      <c r="T13" s="17"/>
      <c r="U13" s="17"/>
      <c r="V13" s="17"/>
      <c r="W13" s="16">
        <v>10974</v>
      </c>
      <c r="X13" s="20"/>
      <c r="Y13" s="10"/>
    </row>
    <row r="14" spans="1:25" ht="15.75">
      <c r="A14" s="12" t="s">
        <v>20</v>
      </c>
      <c r="B14" s="46">
        <v>71</v>
      </c>
      <c r="C14" s="46">
        <v>71</v>
      </c>
      <c r="D14" s="46">
        <v>142</v>
      </c>
      <c r="E14" s="46">
        <v>72</v>
      </c>
      <c r="F14" s="46">
        <v>72</v>
      </c>
      <c r="G14" s="46">
        <v>142</v>
      </c>
      <c r="H14" s="46">
        <v>86</v>
      </c>
      <c r="I14" s="46">
        <v>86</v>
      </c>
      <c r="J14" s="46">
        <v>172</v>
      </c>
      <c r="K14" s="58">
        <v>86</v>
      </c>
      <c r="L14" s="58">
        <v>85</v>
      </c>
      <c r="M14" s="58">
        <v>171</v>
      </c>
      <c r="N14" s="64">
        <f>62+16</f>
        <v>78</v>
      </c>
      <c r="O14" s="64">
        <f>62+16</f>
        <v>78</v>
      </c>
      <c r="P14" s="64">
        <f t="shared" si="0"/>
        <v>156</v>
      </c>
      <c r="Q14" s="64"/>
      <c r="R14" s="64"/>
      <c r="S14" s="64"/>
      <c r="T14" s="17"/>
      <c r="U14" s="17"/>
      <c r="V14" s="17"/>
      <c r="W14" s="16">
        <v>832</v>
      </c>
      <c r="X14" s="20"/>
      <c r="Y14" s="10"/>
    </row>
    <row r="15" spans="1:25" ht="15.75">
      <c r="A15" s="12" t="s">
        <v>21</v>
      </c>
      <c r="B15" s="46">
        <v>171</v>
      </c>
      <c r="C15" s="46">
        <v>169</v>
      </c>
      <c r="D15" s="46">
        <v>340</v>
      </c>
      <c r="E15" s="46">
        <v>200</v>
      </c>
      <c r="F15" s="46">
        <v>199</v>
      </c>
      <c r="G15" s="46">
        <v>340</v>
      </c>
      <c r="H15" s="46">
        <v>193</v>
      </c>
      <c r="I15" s="46">
        <v>191</v>
      </c>
      <c r="J15" s="46">
        <v>384</v>
      </c>
      <c r="K15" s="58">
        <v>190</v>
      </c>
      <c r="L15" s="58">
        <v>190</v>
      </c>
      <c r="M15" s="58">
        <v>380</v>
      </c>
      <c r="N15" s="56">
        <v>222</v>
      </c>
      <c r="O15" s="56">
        <v>228</v>
      </c>
      <c r="P15" s="56">
        <v>450</v>
      </c>
      <c r="Q15" s="64"/>
      <c r="R15" s="64"/>
      <c r="S15" s="64"/>
      <c r="T15" s="17"/>
      <c r="U15" s="17"/>
      <c r="V15" s="17"/>
      <c r="W15" s="16">
        <v>3987</v>
      </c>
      <c r="X15" s="20"/>
      <c r="Y15" s="10"/>
    </row>
    <row r="16" spans="1:25" ht="15.75">
      <c r="A16" s="12" t="s">
        <v>22</v>
      </c>
      <c r="B16" s="46">
        <v>39</v>
      </c>
      <c r="C16" s="46">
        <v>42</v>
      </c>
      <c r="D16" s="46">
        <v>81</v>
      </c>
      <c r="E16" s="46">
        <v>82</v>
      </c>
      <c r="F16" s="46">
        <v>90</v>
      </c>
      <c r="G16" s="46">
        <v>81</v>
      </c>
      <c r="H16" s="46">
        <v>67</v>
      </c>
      <c r="I16" s="46">
        <v>65</v>
      </c>
      <c r="J16" s="46">
        <v>132</v>
      </c>
      <c r="K16" s="58">
        <v>67</v>
      </c>
      <c r="L16" s="58">
        <v>65</v>
      </c>
      <c r="M16" s="58">
        <v>132</v>
      </c>
      <c r="N16" s="56">
        <v>85</v>
      </c>
      <c r="O16" s="56">
        <v>75</v>
      </c>
      <c r="P16" s="56">
        <v>160</v>
      </c>
      <c r="Q16" s="64"/>
      <c r="R16" s="64"/>
      <c r="S16" s="64"/>
      <c r="T16" s="17"/>
      <c r="U16" s="17"/>
      <c r="V16" s="17"/>
      <c r="W16" s="16">
        <v>813</v>
      </c>
      <c r="X16" s="20"/>
      <c r="Y16" s="10"/>
    </row>
    <row r="17" spans="1:24" ht="15.75">
      <c r="A17" s="12" t="s">
        <v>23</v>
      </c>
      <c r="B17" s="46">
        <v>112</v>
      </c>
      <c r="C17" s="46">
        <v>111</v>
      </c>
      <c r="D17" s="46">
        <v>223</v>
      </c>
      <c r="E17" s="46">
        <v>294</v>
      </c>
      <c r="F17" s="46">
        <v>294</v>
      </c>
      <c r="G17" s="46">
        <v>223</v>
      </c>
      <c r="H17" s="46"/>
      <c r="I17" s="46"/>
      <c r="J17" s="46"/>
      <c r="K17" s="58">
        <v>109</v>
      </c>
      <c r="L17" s="58">
        <v>107</v>
      </c>
      <c r="M17" s="58">
        <v>216</v>
      </c>
      <c r="N17" s="56"/>
      <c r="O17" s="56"/>
      <c r="P17" s="56"/>
      <c r="Q17" s="64"/>
      <c r="R17" s="64"/>
      <c r="S17" s="64"/>
      <c r="T17" s="17"/>
      <c r="U17" s="17"/>
      <c r="V17" s="17"/>
      <c r="W17" s="16">
        <v>2512</v>
      </c>
      <c r="X17" s="20"/>
    </row>
    <row r="18" spans="1:24" ht="15.75">
      <c r="A18" s="12" t="s">
        <v>24</v>
      </c>
      <c r="B18" s="46">
        <v>280</v>
      </c>
      <c r="C18" s="46">
        <v>280</v>
      </c>
      <c r="D18" s="46">
        <v>560</v>
      </c>
      <c r="E18" s="46">
        <v>294</v>
      </c>
      <c r="F18" s="46">
        <v>294</v>
      </c>
      <c r="G18" s="46">
        <v>560</v>
      </c>
      <c r="H18" s="46">
        <v>382</v>
      </c>
      <c r="I18" s="46">
        <v>382</v>
      </c>
      <c r="J18" s="46">
        <v>764</v>
      </c>
      <c r="K18" s="58">
        <v>457</v>
      </c>
      <c r="L18" s="58">
        <v>457</v>
      </c>
      <c r="M18" s="58">
        <v>914</v>
      </c>
      <c r="N18" s="56">
        <v>386</v>
      </c>
      <c r="O18" s="56">
        <v>386</v>
      </c>
      <c r="P18" s="56">
        <v>772</v>
      </c>
      <c r="Q18" s="64">
        <f>391+36</f>
        <v>427</v>
      </c>
      <c r="R18" s="64">
        <f>391+36</f>
        <v>427</v>
      </c>
      <c r="S18" s="64">
        <f>SUM(Q18:R18)</f>
        <v>854</v>
      </c>
      <c r="T18" s="17"/>
      <c r="U18" s="17"/>
      <c r="V18" s="17"/>
      <c r="W18" s="16">
        <v>5028</v>
      </c>
      <c r="X18" s="20"/>
    </row>
    <row r="19" spans="1:24" ht="15.75">
      <c r="A19" s="12" t="s">
        <v>25</v>
      </c>
      <c r="B19" s="46">
        <v>99</v>
      </c>
      <c r="C19" s="46">
        <v>105</v>
      </c>
      <c r="D19" s="46">
        <v>204</v>
      </c>
      <c r="E19" s="46">
        <v>169</v>
      </c>
      <c r="F19" s="46">
        <v>166</v>
      </c>
      <c r="G19" s="46">
        <v>204</v>
      </c>
      <c r="H19" s="46">
        <v>197</v>
      </c>
      <c r="I19" s="46">
        <v>186</v>
      </c>
      <c r="J19" s="46">
        <v>383</v>
      </c>
      <c r="K19" s="58">
        <v>211</v>
      </c>
      <c r="L19" s="58">
        <v>208</v>
      </c>
      <c r="M19" s="58">
        <v>419</v>
      </c>
      <c r="N19" s="56"/>
      <c r="O19" s="56"/>
      <c r="P19" s="56"/>
      <c r="Q19" s="64">
        <f>50+53</f>
        <v>103</v>
      </c>
      <c r="R19" s="64">
        <f>50+49</f>
        <v>99</v>
      </c>
      <c r="S19" s="64">
        <f>SUM(Q19:R19)</f>
        <v>202</v>
      </c>
      <c r="T19" s="17"/>
      <c r="U19" s="17"/>
      <c r="V19" s="17"/>
      <c r="W19" s="16">
        <v>1970</v>
      </c>
      <c r="X19" s="20"/>
    </row>
    <row r="20" spans="1:24" ht="15.75">
      <c r="A20" s="12" t="s">
        <v>26</v>
      </c>
      <c r="B20" s="46">
        <v>2</v>
      </c>
      <c r="C20" s="46">
        <v>1</v>
      </c>
      <c r="D20" s="46">
        <v>3</v>
      </c>
      <c r="E20" s="46">
        <v>0</v>
      </c>
      <c r="F20" s="46">
        <v>0</v>
      </c>
      <c r="G20" s="46">
        <v>15609</v>
      </c>
      <c r="H20" s="46">
        <v>2</v>
      </c>
      <c r="I20" s="46">
        <v>6</v>
      </c>
      <c r="J20" s="46">
        <v>8</v>
      </c>
      <c r="K20" s="58">
        <v>3</v>
      </c>
      <c r="L20" s="58">
        <v>4</v>
      </c>
      <c r="M20" s="58">
        <v>7</v>
      </c>
      <c r="N20" s="56"/>
      <c r="O20" s="56"/>
      <c r="P20" s="56"/>
      <c r="Q20" s="64">
        <v>0</v>
      </c>
      <c r="R20" s="64">
        <v>0</v>
      </c>
      <c r="S20" s="64">
        <f>SUM(Q20:R20)</f>
        <v>0</v>
      </c>
      <c r="T20" s="17"/>
      <c r="U20" s="17"/>
      <c r="V20" s="17"/>
      <c r="W20" s="16">
        <v>0</v>
      </c>
      <c r="X20" s="20"/>
    </row>
    <row r="21" spans="1:24" ht="15.75">
      <c r="A21" s="12" t="s">
        <v>27</v>
      </c>
      <c r="B21" s="46">
        <v>309</v>
      </c>
      <c r="C21" s="46">
        <v>310</v>
      </c>
      <c r="D21" s="46">
        <v>619</v>
      </c>
      <c r="E21" s="46">
        <v>344</v>
      </c>
      <c r="F21" s="46">
        <v>344</v>
      </c>
      <c r="G21" s="46">
        <v>688</v>
      </c>
      <c r="H21" s="46">
        <v>401</v>
      </c>
      <c r="I21" s="46">
        <v>401</v>
      </c>
      <c r="J21" s="46">
        <v>802</v>
      </c>
      <c r="K21" s="58">
        <v>352</v>
      </c>
      <c r="L21" s="58">
        <v>351</v>
      </c>
      <c r="M21" s="58">
        <v>703</v>
      </c>
      <c r="N21" s="56">
        <v>356</v>
      </c>
      <c r="O21" s="56">
        <v>356</v>
      </c>
      <c r="P21" s="56">
        <v>712</v>
      </c>
      <c r="Q21" s="64">
        <v>358</v>
      </c>
      <c r="R21" s="64">
        <v>358</v>
      </c>
      <c r="S21" s="64">
        <f>SUM(Q21:R21)</f>
        <v>716</v>
      </c>
      <c r="T21" s="17"/>
      <c r="U21" s="17"/>
      <c r="V21" s="17"/>
      <c r="W21" s="16">
        <v>3265</v>
      </c>
      <c r="X21" s="20"/>
    </row>
    <row r="22" spans="1:24" ht="15.75">
      <c r="A22" s="12" t="s">
        <v>28</v>
      </c>
      <c r="B22" s="46">
        <v>1</v>
      </c>
      <c r="C22" s="46">
        <v>0</v>
      </c>
      <c r="D22" s="46">
        <v>1</v>
      </c>
      <c r="E22" s="46">
        <v>1</v>
      </c>
      <c r="F22" s="46">
        <v>1</v>
      </c>
      <c r="G22" s="46">
        <v>2</v>
      </c>
      <c r="H22" s="46">
        <v>1</v>
      </c>
      <c r="I22" s="46">
        <v>1</v>
      </c>
      <c r="J22" s="46">
        <v>2</v>
      </c>
      <c r="K22" s="58">
        <v>1</v>
      </c>
      <c r="L22" s="58">
        <v>2</v>
      </c>
      <c r="M22" s="58">
        <v>3</v>
      </c>
      <c r="N22" s="56">
        <v>1</v>
      </c>
      <c r="O22" s="56">
        <v>1</v>
      </c>
      <c r="P22" s="56">
        <v>2</v>
      </c>
      <c r="Q22" s="64">
        <v>0</v>
      </c>
      <c r="R22" s="64">
        <v>0</v>
      </c>
      <c r="S22" s="64">
        <f>SUM(Q22:R22)</f>
        <v>0</v>
      </c>
      <c r="T22" s="17"/>
      <c r="U22" s="17"/>
      <c r="V22" s="17"/>
      <c r="W22" s="16">
        <v>11</v>
      </c>
      <c r="X22" s="20"/>
    </row>
    <row r="23" spans="1:24" ht="15.75">
      <c r="A23" s="12" t="s">
        <v>29</v>
      </c>
      <c r="B23" s="46">
        <v>66</v>
      </c>
      <c r="C23" s="46">
        <v>61</v>
      </c>
      <c r="D23" s="46">
        <v>127</v>
      </c>
      <c r="E23" s="46">
        <v>101</v>
      </c>
      <c r="F23" s="46">
        <v>101</v>
      </c>
      <c r="G23" s="46">
        <v>127</v>
      </c>
      <c r="H23" s="46">
        <v>87</v>
      </c>
      <c r="I23" s="46">
        <v>88</v>
      </c>
      <c r="J23" s="46">
        <v>175</v>
      </c>
      <c r="K23" s="58">
        <v>88</v>
      </c>
      <c r="L23" s="58">
        <v>88</v>
      </c>
      <c r="M23" s="58">
        <v>176</v>
      </c>
      <c r="N23" s="56">
        <v>72</v>
      </c>
      <c r="O23" s="56">
        <v>73</v>
      </c>
      <c r="P23" s="56">
        <v>145</v>
      </c>
      <c r="Q23" s="64"/>
      <c r="R23" s="64"/>
      <c r="S23" s="64"/>
      <c r="T23" s="17"/>
      <c r="U23" s="17"/>
      <c r="V23" s="17"/>
      <c r="W23" s="16">
        <v>816</v>
      </c>
      <c r="X23" s="20"/>
    </row>
    <row r="24" spans="1:24" ht="15.75">
      <c r="A24" s="12" t="s">
        <v>30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1</v>
      </c>
      <c r="J24" s="46">
        <v>1</v>
      </c>
      <c r="K24" s="58">
        <v>3</v>
      </c>
      <c r="L24" s="58">
        <v>4</v>
      </c>
      <c r="M24" s="58">
        <v>7</v>
      </c>
      <c r="N24" s="56">
        <v>2</v>
      </c>
      <c r="O24" s="56">
        <v>1</v>
      </c>
      <c r="P24" s="56">
        <v>3</v>
      </c>
      <c r="Q24" s="64"/>
      <c r="R24" s="64"/>
      <c r="S24" s="64"/>
      <c r="T24" s="17"/>
      <c r="U24" s="17"/>
      <c r="V24" s="17"/>
      <c r="W24" s="16">
        <v>2</v>
      </c>
      <c r="X24" s="20"/>
    </row>
    <row r="25" spans="1:24" ht="15.75">
      <c r="A25" s="12" t="s">
        <v>31</v>
      </c>
      <c r="B25" s="46">
        <v>161</v>
      </c>
      <c r="C25" s="46">
        <v>161</v>
      </c>
      <c r="D25" s="46">
        <v>322</v>
      </c>
      <c r="E25" s="46">
        <v>204</v>
      </c>
      <c r="F25" s="46">
        <v>204</v>
      </c>
      <c r="G25" s="46">
        <v>322</v>
      </c>
      <c r="H25" s="46">
        <v>214</v>
      </c>
      <c r="I25" s="46">
        <v>214</v>
      </c>
      <c r="J25" s="46">
        <v>428</v>
      </c>
      <c r="K25" s="58">
        <v>205</v>
      </c>
      <c r="L25" s="58">
        <v>205</v>
      </c>
      <c r="M25" s="58">
        <v>410</v>
      </c>
      <c r="N25" s="56">
        <v>219</v>
      </c>
      <c r="O25" s="56">
        <v>219</v>
      </c>
      <c r="P25" s="56">
        <v>438</v>
      </c>
      <c r="Q25" s="64">
        <f>141+100</f>
        <v>241</v>
      </c>
      <c r="R25" s="64">
        <f>141+100</f>
        <v>241</v>
      </c>
      <c r="S25" s="64">
        <f>SUM(Q25:R25)</f>
        <v>482</v>
      </c>
      <c r="T25" s="17"/>
      <c r="U25" s="17"/>
      <c r="V25" s="17"/>
      <c r="W25" s="16">
        <v>3779</v>
      </c>
      <c r="X25" s="20"/>
    </row>
    <row r="26" spans="1:24" ht="15.75">
      <c r="A26" s="12" t="s">
        <v>32</v>
      </c>
      <c r="B26" s="46">
        <v>45</v>
      </c>
      <c r="C26" s="46">
        <v>45</v>
      </c>
      <c r="D26" s="46">
        <v>90</v>
      </c>
      <c r="E26" s="46">
        <v>73</v>
      </c>
      <c r="F26" s="46">
        <v>71</v>
      </c>
      <c r="G26" s="46">
        <v>90</v>
      </c>
      <c r="H26" s="46">
        <v>62</v>
      </c>
      <c r="I26" s="46">
        <v>62</v>
      </c>
      <c r="J26" s="46">
        <v>124</v>
      </c>
      <c r="K26" s="58">
        <v>82</v>
      </c>
      <c r="L26" s="58">
        <v>82</v>
      </c>
      <c r="M26" s="58">
        <v>164</v>
      </c>
      <c r="N26" s="56">
        <v>50</v>
      </c>
      <c r="O26" s="56">
        <v>51</v>
      </c>
      <c r="P26" s="56">
        <v>101</v>
      </c>
      <c r="Q26" s="64">
        <f>26+8</f>
        <v>34</v>
      </c>
      <c r="R26" s="64">
        <f>26+8</f>
        <v>34</v>
      </c>
      <c r="S26" s="64">
        <f>SUM(Q26:R26)</f>
        <v>68</v>
      </c>
      <c r="T26" s="17"/>
      <c r="U26" s="17"/>
      <c r="V26" s="17"/>
      <c r="W26" s="16">
        <v>763</v>
      </c>
      <c r="X26" s="20"/>
    </row>
    <row r="27" spans="1:24" ht="15.75">
      <c r="A27" s="12" t="s">
        <v>33</v>
      </c>
      <c r="B27" s="46">
        <v>0</v>
      </c>
      <c r="C27" s="46">
        <v>0</v>
      </c>
      <c r="D27" s="46">
        <v>0</v>
      </c>
      <c r="E27" s="46">
        <v>0</v>
      </c>
      <c r="F27" s="46">
        <v>1</v>
      </c>
      <c r="G27" s="46">
        <v>412</v>
      </c>
      <c r="H27" s="46">
        <v>2</v>
      </c>
      <c r="I27" s="46">
        <v>2</v>
      </c>
      <c r="J27" s="46">
        <v>4</v>
      </c>
      <c r="K27" s="58">
        <v>2</v>
      </c>
      <c r="L27" s="58">
        <v>2</v>
      </c>
      <c r="M27" s="58">
        <v>4</v>
      </c>
      <c r="N27" s="56">
        <v>4</v>
      </c>
      <c r="O27" s="56">
        <v>3</v>
      </c>
      <c r="P27" s="56">
        <v>7</v>
      </c>
      <c r="Q27" s="64">
        <v>1</v>
      </c>
      <c r="R27" s="64">
        <v>1</v>
      </c>
      <c r="S27" s="64">
        <f>SUM(Q27:R27)</f>
        <v>2</v>
      </c>
      <c r="T27" s="17"/>
      <c r="U27" s="17"/>
      <c r="V27" s="17"/>
      <c r="W27" s="16">
        <v>37</v>
      </c>
      <c r="X27" s="20"/>
    </row>
    <row r="28" spans="1:24" ht="15.75">
      <c r="A28" s="12" t="s">
        <v>34</v>
      </c>
      <c r="B28" s="46">
        <v>47</v>
      </c>
      <c r="C28" s="46">
        <v>47</v>
      </c>
      <c r="D28" s="46">
        <v>94</v>
      </c>
      <c r="E28" s="46">
        <v>44</v>
      </c>
      <c r="F28" s="46">
        <v>44</v>
      </c>
      <c r="G28" s="46">
        <v>94</v>
      </c>
      <c r="H28" s="46">
        <v>63</v>
      </c>
      <c r="I28" s="46">
        <v>63</v>
      </c>
      <c r="J28" s="46">
        <v>126</v>
      </c>
      <c r="K28" s="58">
        <v>64</v>
      </c>
      <c r="L28" s="58">
        <v>66</v>
      </c>
      <c r="M28" s="58">
        <v>130</v>
      </c>
      <c r="N28" s="56">
        <f>30+22</f>
        <v>52</v>
      </c>
      <c r="O28" s="56">
        <f>30+22</f>
        <v>52</v>
      </c>
      <c r="P28" s="56">
        <f>SUM(N28:O28)</f>
        <v>104</v>
      </c>
      <c r="Q28" s="64">
        <f>29+13</f>
        <v>42</v>
      </c>
      <c r="R28" s="64">
        <f>29+13</f>
        <v>42</v>
      </c>
      <c r="S28" s="64">
        <f>SUM(Q28:R28)</f>
        <v>84</v>
      </c>
      <c r="T28" s="17"/>
      <c r="U28" s="17"/>
      <c r="V28" s="17"/>
      <c r="W28" s="16">
        <v>696</v>
      </c>
      <c r="X28" s="20"/>
    </row>
    <row r="29" spans="1:24" ht="15.75">
      <c r="A29" s="12" t="s">
        <v>35</v>
      </c>
      <c r="B29" s="46"/>
      <c r="C29" s="46"/>
      <c r="D29" s="46"/>
      <c r="E29" s="46">
        <v>216</v>
      </c>
      <c r="F29" s="46">
        <v>216</v>
      </c>
      <c r="G29" s="46">
        <v>432</v>
      </c>
      <c r="H29" s="46"/>
      <c r="I29" s="46"/>
      <c r="J29" s="46"/>
      <c r="K29" s="58"/>
      <c r="L29" s="58"/>
      <c r="M29" s="58"/>
      <c r="N29" s="56">
        <v>240</v>
      </c>
      <c r="O29" s="56">
        <v>240</v>
      </c>
      <c r="P29" s="56">
        <v>480</v>
      </c>
      <c r="Q29" s="64"/>
      <c r="R29" s="64"/>
      <c r="S29" s="64"/>
      <c r="T29" s="17"/>
      <c r="U29" s="17"/>
      <c r="V29" s="17"/>
      <c r="W29" s="16">
        <v>2470</v>
      </c>
      <c r="X29" s="20"/>
    </row>
    <row r="30" spans="1:24" ht="15.75">
      <c r="A30" s="12" t="s">
        <v>36</v>
      </c>
      <c r="B30" s="46">
        <v>73</v>
      </c>
      <c r="C30" s="46">
        <v>73</v>
      </c>
      <c r="D30" s="46">
        <v>146</v>
      </c>
      <c r="E30" s="46">
        <v>79</v>
      </c>
      <c r="F30" s="46">
        <v>79</v>
      </c>
      <c r="G30" s="46">
        <v>146</v>
      </c>
      <c r="H30" s="46">
        <v>75</v>
      </c>
      <c r="I30" s="46">
        <v>75</v>
      </c>
      <c r="J30" s="46">
        <v>150</v>
      </c>
      <c r="K30" s="58">
        <v>95</v>
      </c>
      <c r="L30" s="58">
        <v>95</v>
      </c>
      <c r="M30" s="58">
        <v>190</v>
      </c>
      <c r="N30" s="56">
        <v>117</v>
      </c>
      <c r="O30" s="56">
        <v>118</v>
      </c>
      <c r="P30" s="56">
        <v>235</v>
      </c>
      <c r="Q30" s="64">
        <f>44+22</f>
        <v>66</v>
      </c>
      <c r="R30" s="64">
        <f>44+22</f>
        <v>66</v>
      </c>
      <c r="S30" s="64">
        <f>SUM(Q30:R30)</f>
        <v>132</v>
      </c>
      <c r="T30" s="17"/>
      <c r="U30" s="17"/>
      <c r="V30" s="17"/>
      <c r="W30" s="16">
        <v>1124</v>
      </c>
      <c r="X30" s="20"/>
    </row>
    <row r="31" spans="1:24" ht="15.75">
      <c r="A31" s="12" t="s">
        <v>37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58">
        <v>0</v>
      </c>
      <c r="L31" s="58">
        <v>0</v>
      </c>
      <c r="M31" s="58">
        <v>0</v>
      </c>
      <c r="N31" s="56">
        <v>0</v>
      </c>
      <c r="O31" s="56">
        <v>0</v>
      </c>
      <c r="P31" s="56">
        <v>0</v>
      </c>
      <c r="Q31" s="64">
        <v>0</v>
      </c>
      <c r="R31" s="64">
        <v>0</v>
      </c>
      <c r="S31" s="64">
        <f>SUM(Q31:R31)</f>
        <v>0</v>
      </c>
      <c r="T31" s="17"/>
      <c r="U31" s="17"/>
      <c r="V31" s="17"/>
      <c r="W31" s="16">
        <v>0</v>
      </c>
      <c r="X31" s="20"/>
    </row>
    <row r="32" spans="1:24" ht="15.75">
      <c r="A32" s="12" t="s">
        <v>38</v>
      </c>
      <c r="B32" s="46">
        <v>52</v>
      </c>
      <c r="C32" s="46">
        <v>52</v>
      </c>
      <c r="D32" s="46">
        <v>104</v>
      </c>
      <c r="E32" s="46">
        <v>84</v>
      </c>
      <c r="F32" s="46">
        <v>84</v>
      </c>
      <c r="G32" s="46">
        <v>104</v>
      </c>
      <c r="H32" s="46">
        <v>125</v>
      </c>
      <c r="I32" s="46">
        <v>125</v>
      </c>
      <c r="J32" s="46">
        <v>250</v>
      </c>
      <c r="K32" s="58">
        <v>95</v>
      </c>
      <c r="L32" s="58">
        <v>95</v>
      </c>
      <c r="M32" s="58">
        <v>190</v>
      </c>
      <c r="N32" s="56">
        <v>97</v>
      </c>
      <c r="O32" s="56">
        <v>97</v>
      </c>
      <c r="P32" s="56">
        <v>194</v>
      </c>
      <c r="Q32" s="64">
        <f>56+18</f>
        <v>74</v>
      </c>
      <c r="R32" s="64">
        <f>56+18</f>
        <v>74</v>
      </c>
      <c r="S32" s="64">
        <f>SUM(Q32:R32)</f>
        <v>148</v>
      </c>
      <c r="T32" s="17"/>
      <c r="U32" s="17"/>
      <c r="V32" s="17"/>
      <c r="W32" s="16">
        <v>1134</v>
      </c>
      <c r="X32" s="20"/>
    </row>
    <row r="33" spans="1:24" ht="15.75">
      <c r="A33" s="12" t="s">
        <v>39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6</v>
      </c>
      <c r="J33" s="46">
        <v>6</v>
      </c>
      <c r="K33" s="58">
        <v>0</v>
      </c>
      <c r="L33" s="58">
        <v>0</v>
      </c>
      <c r="M33" s="58">
        <v>0</v>
      </c>
      <c r="N33" s="56">
        <v>0</v>
      </c>
      <c r="O33" s="56">
        <v>0</v>
      </c>
      <c r="P33" s="56">
        <v>0</v>
      </c>
      <c r="Q33" s="64">
        <v>0</v>
      </c>
      <c r="R33" s="64">
        <v>0</v>
      </c>
      <c r="S33" s="64">
        <f>SUM(Q33:R33)</f>
        <v>0</v>
      </c>
      <c r="T33" s="17"/>
      <c r="U33" s="17"/>
      <c r="V33" s="17"/>
      <c r="W33" s="16">
        <v>1</v>
      </c>
      <c r="X33" s="20"/>
    </row>
    <row r="34" spans="1:24" ht="15.75">
      <c r="A34" s="12" t="s">
        <v>40</v>
      </c>
      <c r="B34" s="46">
        <v>56</v>
      </c>
      <c r="C34" s="46">
        <v>55</v>
      </c>
      <c r="D34" s="46">
        <v>111</v>
      </c>
      <c r="E34" s="46">
        <v>96</v>
      </c>
      <c r="F34" s="46">
        <v>94</v>
      </c>
      <c r="G34" s="46">
        <v>111</v>
      </c>
      <c r="H34" s="46">
        <v>105</v>
      </c>
      <c r="I34" s="46">
        <v>109</v>
      </c>
      <c r="J34" s="46">
        <v>214</v>
      </c>
      <c r="K34" s="58">
        <v>91</v>
      </c>
      <c r="L34" s="58">
        <v>91</v>
      </c>
      <c r="M34" s="58">
        <v>182</v>
      </c>
      <c r="N34" s="56">
        <f>78+17</f>
        <v>95</v>
      </c>
      <c r="O34" s="56">
        <f>77+17</f>
        <v>94</v>
      </c>
      <c r="P34" s="56">
        <v>189</v>
      </c>
      <c r="Q34" s="64"/>
      <c r="R34" s="64"/>
      <c r="S34" s="64"/>
      <c r="T34" s="17"/>
      <c r="U34" s="17"/>
      <c r="V34" s="17"/>
      <c r="W34" s="16">
        <v>1326</v>
      </c>
      <c r="X34" s="20"/>
    </row>
    <row r="35" spans="1:24" ht="15.75">
      <c r="A35" s="12" t="s">
        <v>41</v>
      </c>
      <c r="B35" s="46">
        <v>4</v>
      </c>
      <c r="C35" s="46">
        <v>3</v>
      </c>
      <c r="D35" s="46">
        <v>7</v>
      </c>
      <c r="E35" s="46">
        <v>18</v>
      </c>
      <c r="F35" s="46">
        <v>20</v>
      </c>
      <c r="G35" s="46">
        <v>52</v>
      </c>
      <c r="H35" s="46">
        <v>12</v>
      </c>
      <c r="I35" s="46">
        <v>12</v>
      </c>
      <c r="J35" s="46">
        <v>24</v>
      </c>
      <c r="K35" s="58">
        <v>16</v>
      </c>
      <c r="L35" s="58">
        <v>16</v>
      </c>
      <c r="M35" s="58">
        <v>32</v>
      </c>
      <c r="N35" s="56">
        <v>12</v>
      </c>
      <c r="O35" s="56">
        <v>12</v>
      </c>
      <c r="P35" s="56">
        <v>24</v>
      </c>
      <c r="Q35" s="64"/>
      <c r="R35" s="64"/>
      <c r="S35" s="64"/>
      <c r="T35" s="17"/>
      <c r="U35" s="17"/>
      <c r="V35" s="17"/>
      <c r="W35" s="16">
        <v>138</v>
      </c>
      <c r="X35" s="20"/>
    </row>
    <row r="36" spans="1:24" ht="15.75">
      <c r="A36" s="12" t="s">
        <v>42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58">
        <v>0</v>
      </c>
      <c r="L36" s="58">
        <v>0</v>
      </c>
      <c r="M36" s="58">
        <v>0</v>
      </c>
      <c r="N36" s="56">
        <v>0</v>
      </c>
      <c r="O36" s="56">
        <v>0</v>
      </c>
      <c r="P36" s="56">
        <v>0</v>
      </c>
      <c r="Q36" s="64"/>
      <c r="R36" s="64"/>
      <c r="S36" s="64"/>
      <c r="T36" s="17"/>
      <c r="U36" s="17"/>
      <c r="V36" s="17"/>
      <c r="W36" s="16">
        <v>0</v>
      </c>
      <c r="X36" s="20"/>
    </row>
    <row r="37" spans="1:24" ht="15.75">
      <c r="A37" s="12" t="s">
        <v>43</v>
      </c>
      <c r="B37" s="46">
        <v>24</v>
      </c>
      <c r="C37" s="46">
        <v>24</v>
      </c>
      <c r="D37" s="46">
        <v>48</v>
      </c>
      <c r="E37" s="46">
        <v>36</v>
      </c>
      <c r="F37" s="46">
        <v>36</v>
      </c>
      <c r="G37" s="46">
        <v>52</v>
      </c>
      <c r="H37" s="46">
        <v>35</v>
      </c>
      <c r="I37" s="46">
        <v>35</v>
      </c>
      <c r="J37" s="46">
        <v>70</v>
      </c>
      <c r="K37" s="58">
        <v>36</v>
      </c>
      <c r="L37" s="58">
        <v>36</v>
      </c>
      <c r="M37" s="58">
        <v>72</v>
      </c>
      <c r="N37" s="56">
        <v>48</v>
      </c>
      <c r="O37" s="56">
        <v>48</v>
      </c>
      <c r="P37" s="56">
        <v>96</v>
      </c>
      <c r="Q37" s="64">
        <f>5+28</f>
        <v>33</v>
      </c>
      <c r="R37" s="64">
        <f>28+5</f>
        <v>33</v>
      </c>
      <c r="S37" s="64">
        <f>SUM(Q37:R37)</f>
        <v>66</v>
      </c>
      <c r="T37" s="17"/>
      <c r="U37" s="17"/>
      <c r="V37" s="17"/>
      <c r="W37" s="16">
        <v>290</v>
      </c>
      <c r="X37" s="20"/>
    </row>
    <row r="38" spans="1:24" ht="15.75">
      <c r="A38" s="12" t="s">
        <v>44</v>
      </c>
      <c r="B38" s="46">
        <v>19</v>
      </c>
      <c r="C38" s="46">
        <v>19</v>
      </c>
      <c r="D38" s="46">
        <v>38</v>
      </c>
      <c r="E38" s="46">
        <v>28</v>
      </c>
      <c r="F38" s="46">
        <v>28</v>
      </c>
      <c r="G38" s="46">
        <v>56</v>
      </c>
      <c r="H38" s="46">
        <v>12</v>
      </c>
      <c r="I38" s="46">
        <v>12</v>
      </c>
      <c r="J38" s="46">
        <v>24</v>
      </c>
      <c r="K38" s="58">
        <v>8</v>
      </c>
      <c r="L38" s="58">
        <v>8</v>
      </c>
      <c r="M38" s="58">
        <v>16</v>
      </c>
      <c r="N38" s="56"/>
      <c r="O38" s="56"/>
      <c r="P38" s="56"/>
      <c r="Q38" s="64"/>
      <c r="R38" s="64"/>
      <c r="S38" s="64"/>
      <c r="T38" s="17"/>
      <c r="U38" s="17"/>
      <c r="V38" s="17"/>
      <c r="W38" s="16">
        <v>388</v>
      </c>
      <c r="X38" s="20"/>
    </row>
    <row r="39" spans="1:24" ht="15.75">
      <c r="A39" s="12" t="s">
        <v>45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2</v>
      </c>
      <c r="I39" s="46">
        <v>2</v>
      </c>
      <c r="J39" s="46">
        <v>4</v>
      </c>
      <c r="K39" s="58">
        <v>0</v>
      </c>
      <c r="L39" s="58">
        <v>0</v>
      </c>
      <c r="M39" s="58">
        <v>0</v>
      </c>
      <c r="N39" s="56"/>
      <c r="O39" s="56"/>
      <c r="P39" s="56"/>
      <c r="Q39" s="64"/>
      <c r="R39" s="64"/>
      <c r="S39" s="64"/>
      <c r="T39" s="17"/>
      <c r="U39" s="17"/>
      <c r="V39" s="17"/>
      <c r="W39" s="16">
        <v>0</v>
      </c>
      <c r="X39" s="20"/>
    </row>
    <row r="40" spans="1:24" ht="15.75">
      <c r="A40" s="12" t="s">
        <v>46</v>
      </c>
      <c r="B40" s="46">
        <v>8</v>
      </c>
      <c r="C40" s="46">
        <v>8</v>
      </c>
      <c r="D40" s="46">
        <v>16</v>
      </c>
      <c r="E40" s="46">
        <v>14</v>
      </c>
      <c r="F40" s="46">
        <v>14</v>
      </c>
      <c r="G40" s="46">
        <v>56</v>
      </c>
      <c r="H40" s="46">
        <v>28</v>
      </c>
      <c r="I40" s="46">
        <v>28</v>
      </c>
      <c r="J40" s="46">
        <v>56</v>
      </c>
      <c r="K40" s="58">
        <v>11</v>
      </c>
      <c r="L40" s="58">
        <v>11</v>
      </c>
      <c r="M40" s="58">
        <v>22</v>
      </c>
      <c r="N40" s="56">
        <v>15</v>
      </c>
      <c r="O40" s="56">
        <v>15</v>
      </c>
      <c r="P40" s="56">
        <v>30</v>
      </c>
      <c r="Q40" s="64"/>
      <c r="R40" s="64"/>
      <c r="S40" s="64"/>
      <c r="T40" s="17"/>
      <c r="U40" s="17"/>
      <c r="V40" s="17"/>
      <c r="W40" s="16">
        <v>270</v>
      </c>
      <c r="X40" s="20"/>
    </row>
    <row r="41" spans="1:24" ht="15.75">
      <c r="A41" s="12" t="s">
        <v>13</v>
      </c>
      <c r="B41" s="47">
        <v>8677</v>
      </c>
      <c r="C41" s="47">
        <v>8658</v>
      </c>
      <c r="D41" s="47">
        <v>17335</v>
      </c>
      <c r="E41" s="46">
        <v>10744</v>
      </c>
      <c r="F41" s="46">
        <v>10754</v>
      </c>
      <c r="G41" s="46">
        <v>21498</v>
      </c>
      <c r="H41" s="46">
        <v>10308</v>
      </c>
      <c r="I41" s="46">
        <v>10302</v>
      </c>
      <c r="J41" s="46">
        <v>20610</v>
      </c>
      <c r="K41" s="58">
        <v>9769</v>
      </c>
      <c r="L41" s="58">
        <v>9770</v>
      </c>
      <c r="M41" s="58">
        <v>19539</v>
      </c>
      <c r="N41" s="56"/>
      <c r="O41" s="56"/>
      <c r="P41" s="56"/>
      <c r="Q41" s="64"/>
      <c r="R41" s="64"/>
      <c r="S41" s="64"/>
      <c r="T41" s="19"/>
      <c r="U41" s="19"/>
      <c r="V41" s="19"/>
      <c r="W41" s="18">
        <f>SUM(W9:W40)</f>
        <v>125568</v>
      </c>
      <c r="X41" s="21"/>
    </row>
  </sheetData>
  <mergeCells count="4">
    <mergeCell ref="A1:X1"/>
    <mergeCell ref="A2:Y2"/>
    <mergeCell ref="A3:X3"/>
    <mergeCell ref="A5:Y5"/>
  </mergeCells>
  <pageMargins left="0.15748031496062992" right="0.15748031496062992" top="0.59055118110236227" bottom="0.74803149606299213" header="0.31496062992125984" footer="0.31496062992125984"/>
  <pageSetup scale="59" orientation="landscape" r:id="rId1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Y27"/>
  <sheetViews>
    <sheetView topLeftCell="F1" workbookViewId="0">
      <selection activeCell="N31" sqref="N31"/>
    </sheetView>
  </sheetViews>
  <sheetFormatPr defaultRowHeight="15"/>
  <cols>
    <col min="1" max="1" width="11.42578125" customWidth="1"/>
    <col min="2" max="3" width="12.140625" bestFit="1" customWidth="1"/>
    <col min="4" max="6" width="13.42578125" bestFit="1" customWidth="1"/>
    <col min="7" max="7" width="13.7109375" bestFit="1" customWidth="1"/>
    <col min="8" max="8" width="12" bestFit="1" customWidth="1"/>
    <col min="9" max="9" width="12.28515625" bestFit="1" customWidth="1"/>
    <col min="10" max="10" width="13" bestFit="1" customWidth="1"/>
    <col min="11" max="11" width="13.42578125" bestFit="1" customWidth="1"/>
    <col min="12" max="12" width="12.7109375" bestFit="1" customWidth="1"/>
    <col min="13" max="13" width="13.42578125" bestFit="1" customWidth="1"/>
    <col min="14" max="15" width="12.140625" customWidth="1"/>
    <col min="16" max="16" width="13.28515625" bestFit="1" customWidth="1"/>
    <col min="23" max="23" width="14.5703125" customWidth="1"/>
    <col min="24" max="24" width="12" customWidth="1"/>
  </cols>
  <sheetData>
    <row r="1" spans="1:25" ht="2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25"/>
    </row>
    <row r="2" spans="1:25" ht="21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25" ht="21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25"/>
    </row>
    <row r="5" spans="1:25" ht="18.75">
      <c r="A5" s="74" t="s">
        <v>56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</row>
    <row r="7" spans="1:25" ht="15.75">
      <c r="A7" s="26"/>
      <c r="B7" s="27"/>
      <c r="C7" s="28" t="s">
        <v>3</v>
      </c>
      <c r="D7" s="29"/>
      <c r="E7" s="27"/>
      <c r="F7" s="28" t="s">
        <v>4</v>
      </c>
      <c r="G7" s="29"/>
      <c r="H7" s="27"/>
      <c r="I7" s="28" t="s">
        <v>5</v>
      </c>
      <c r="J7" s="29"/>
      <c r="K7" s="27"/>
      <c r="L7" s="28" t="s">
        <v>6</v>
      </c>
      <c r="M7" s="29"/>
      <c r="N7" s="27"/>
      <c r="O7" s="28" t="s">
        <v>7</v>
      </c>
      <c r="P7" s="29"/>
      <c r="Q7" s="27"/>
      <c r="R7" s="28" t="s">
        <v>8</v>
      </c>
      <c r="S7" s="29"/>
      <c r="T7" s="27"/>
      <c r="U7" s="28" t="s">
        <v>9</v>
      </c>
      <c r="V7" s="29"/>
      <c r="W7" s="49">
        <v>2011</v>
      </c>
      <c r="X7" s="29"/>
      <c r="Y7" s="22"/>
    </row>
    <row r="8" spans="1:25" ht="15.75">
      <c r="A8" s="26" t="s">
        <v>10</v>
      </c>
      <c r="B8" s="26" t="s">
        <v>11</v>
      </c>
      <c r="C8" s="26" t="s">
        <v>12</v>
      </c>
      <c r="D8" s="26" t="s">
        <v>13</v>
      </c>
      <c r="E8" s="26" t="s">
        <v>11</v>
      </c>
      <c r="F8" s="26" t="s">
        <v>12</v>
      </c>
      <c r="G8" s="26" t="s">
        <v>13</v>
      </c>
      <c r="H8" s="26" t="s">
        <v>11</v>
      </c>
      <c r="I8" s="26" t="s">
        <v>12</v>
      </c>
      <c r="J8" s="26" t="s">
        <v>13</v>
      </c>
      <c r="K8" s="26" t="s">
        <v>11</v>
      </c>
      <c r="L8" s="26" t="s">
        <v>12</v>
      </c>
      <c r="M8" s="26" t="s">
        <v>13</v>
      </c>
      <c r="N8" s="26" t="s">
        <v>11</v>
      </c>
      <c r="O8" s="26" t="s">
        <v>12</v>
      </c>
      <c r="P8" s="26" t="s">
        <v>13</v>
      </c>
      <c r="Q8" s="26" t="s">
        <v>11</v>
      </c>
      <c r="R8" s="26" t="s">
        <v>12</v>
      </c>
      <c r="S8" s="26" t="s">
        <v>13</v>
      </c>
      <c r="T8" s="26" t="s">
        <v>11</v>
      </c>
      <c r="U8" s="26" t="s">
        <v>12</v>
      </c>
      <c r="V8" s="26" t="s">
        <v>13</v>
      </c>
      <c r="W8" s="49" t="s">
        <v>58</v>
      </c>
      <c r="X8" s="26" t="s">
        <v>14</v>
      </c>
      <c r="Y8" s="22"/>
    </row>
    <row r="9" spans="1:25" ht="15.75">
      <c r="A9" s="24" t="s">
        <v>52</v>
      </c>
      <c r="B9" s="52">
        <v>6698233.2400000002</v>
      </c>
      <c r="C9" s="52">
        <v>2233138.98</v>
      </c>
      <c r="D9" s="52">
        <v>8931372.2200000007</v>
      </c>
      <c r="E9" s="52">
        <v>8314309.5</v>
      </c>
      <c r="F9" s="52">
        <v>2791348.8</v>
      </c>
      <c r="G9" s="52">
        <v>11105658.300000001</v>
      </c>
      <c r="H9" s="53">
        <v>10331124</v>
      </c>
      <c r="I9" s="50">
        <v>2673672</v>
      </c>
      <c r="J9" s="50">
        <v>13004796</v>
      </c>
      <c r="K9" s="65">
        <v>10936405.4</v>
      </c>
      <c r="L9" s="65">
        <v>2936995.7</v>
      </c>
      <c r="M9" s="65">
        <v>13873401.100000001</v>
      </c>
      <c r="N9" s="70">
        <v>8518237</v>
      </c>
      <c r="O9" s="70">
        <v>2802268.2</v>
      </c>
      <c r="P9" s="70">
        <f>SUM(N9:O9)</f>
        <v>11320505.199999999</v>
      </c>
      <c r="Q9" s="36"/>
      <c r="R9" s="30"/>
      <c r="S9" s="33"/>
      <c r="T9" s="33"/>
      <c r="U9" s="33"/>
      <c r="V9" s="33"/>
      <c r="W9" s="38">
        <v>77389463.700000003</v>
      </c>
      <c r="X9" s="33"/>
      <c r="Y9" s="22"/>
    </row>
    <row r="10" spans="1:25" ht="15.75">
      <c r="A10" s="24" t="s">
        <v>53</v>
      </c>
      <c r="B10" s="52">
        <v>371011</v>
      </c>
      <c r="C10" s="52">
        <v>24216.5</v>
      </c>
      <c r="D10" s="52">
        <v>395227.5</v>
      </c>
      <c r="E10" s="52">
        <v>375131.5</v>
      </c>
      <c r="F10" s="52">
        <v>24102.5</v>
      </c>
      <c r="G10" s="52">
        <v>399234</v>
      </c>
      <c r="H10" s="50">
        <v>381212.5</v>
      </c>
      <c r="I10" s="50">
        <v>25004</v>
      </c>
      <c r="J10" s="50">
        <v>406216.5</v>
      </c>
      <c r="K10" s="67">
        <v>389311.5</v>
      </c>
      <c r="L10" s="69">
        <v>27104</v>
      </c>
      <c r="M10" s="67">
        <v>416415.5</v>
      </c>
      <c r="N10" s="70">
        <v>289934.65500000003</v>
      </c>
      <c r="O10" s="70">
        <v>21900</v>
      </c>
      <c r="P10" s="70">
        <f>SUM(N10:O10)</f>
        <v>311834.65500000003</v>
      </c>
      <c r="Q10" s="38"/>
      <c r="R10" s="38"/>
      <c r="S10" s="33"/>
      <c r="T10" s="33"/>
      <c r="U10" s="33"/>
      <c r="V10" s="33"/>
      <c r="W10" s="38">
        <v>6081673.2000000002</v>
      </c>
      <c r="X10" s="33"/>
      <c r="Y10" s="22"/>
    </row>
    <row r="11" spans="1:25" ht="15.75">
      <c r="A11" s="24" t="s">
        <v>54</v>
      </c>
      <c r="B11" s="52">
        <v>0</v>
      </c>
      <c r="C11" s="52">
        <v>0</v>
      </c>
      <c r="D11" s="52">
        <v>0</v>
      </c>
      <c r="E11" s="52">
        <v>394059</v>
      </c>
      <c r="F11" s="52">
        <v>64510</v>
      </c>
      <c r="G11" s="52">
        <v>458569</v>
      </c>
      <c r="H11" s="50">
        <v>429965</v>
      </c>
      <c r="I11" s="50">
        <v>79336</v>
      </c>
      <c r="J11" s="50">
        <v>509301</v>
      </c>
      <c r="K11" s="67">
        <v>0</v>
      </c>
      <c r="L11" s="67">
        <v>0</v>
      </c>
      <c r="M11" s="67">
        <v>0</v>
      </c>
      <c r="N11" s="70">
        <v>0</v>
      </c>
      <c r="O11" s="70">
        <v>0</v>
      </c>
      <c r="P11" s="70">
        <v>0</v>
      </c>
      <c r="Q11" s="38"/>
      <c r="R11" s="38"/>
      <c r="S11" s="33"/>
      <c r="T11" s="33"/>
      <c r="U11" s="33"/>
      <c r="V11" s="33"/>
      <c r="W11" s="38">
        <v>3204036</v>
      </c>
      <c r="X11" s="33"/>
      <c r="Y11" s="22"/>
    </row>
    <row r="12" spans="1:25" ht="15.75">
      <c r="A12" s="24" t="s">
        <v>55</v>
      </c>
      <c r="B12" s="52">
        <v>42987</v>
      </c>
      <c r="C12" s="52">
        <v>64168</v>
      </c>
      <c r="D12" s="52">
        <v>107155</v>
      </c>
      <c r="E12" s="52">
        <v>88251.9</v>
      </c>
      <c r="F12" s="52">
        <v>71050</v>
      </c>
      <c r="G12" s="52">
        <v>159301.9</v>
      </c>
      <c r="H12" s="50">
        <v>429965</v>
      </c>
      <c r="I12" s="50">
        <v>79336</v>
      </c>
      <c r="J12" s="50">
        <v>509301</v>
      </c>
      <c r="K12" s="65">
        <v>148644.4</v>
      </c>
      <c r="L12" s="66">
        <v>137521</v>
      </c>
      <c r="M12" s="65">
        <v>286165.40000000002</v>
      </c>
      <c r="N12" s="68">
        <v>87802.2</v>
      </c>
      <c r="O12" s="68">
        <v>153551</v>
      </c>
      <c r="P12" s="68">
        <v>241353.2</v>
      </c>
      <c r="Q12" s="33"/>
      <c r="R12" s="33"/>
      <c r="S12" s="33"/>
      <c r="T12" s="33"/>
      <c r="U12" s="33"/>
      <c r="V12" s="33"/>
      <c r="W12" s="38">
        <v>2011292.7</v>
      </c>
      <c r="X12" s="33"/>
      <c r="Y12" s="22"/>
    </row>
    <row r="13" spans="1:25" ht="15.75">
      <c r="A13" s="24" t="s">
        <v>35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64">
        <v>0</v>
      </c>
      <c r="L13" s="64">
        <v>0</v>
      </c>
      <c r="M13" s="64">
        <v>0</v>
      </c>
      <c r="N13" s="68"/>
      <c r="O13" s="68"/>
      <c r="P13" s="68"/>
      <c r="Q13" s="33"/>
      <c r="R13" s="33"/>
      <c r="S13" s="33"/>
      <c r="T13" s="33"/>
      <c r="U13" s="33"/>
      <c r="V13" s="33"/>
      <c r="W13" s="38">
        <v>0</v>
      </c>
      <c r="X13" s="33"/>
      <c r="Y13" s="22"/>
    </row>
    <row r="14" spans="1:25">
      <c r="A14" s="24" t="s">
        <v>13</v>
      </c>
      <c r="B14" s="34">
        <f t="shared" ref="B14:J14" si="0">SUM(B9:B13)</f>
        <v>7112231.2400000002</v>
      </c>
      <c r="C14" s="34">
        <f t="shared" si="0"/>
        <v>2321523.48</v>
      </c>
      <c r="D14" s="34">
        <f t="shared" si="0"/>
        <v>9433754.7200000007</v>
      </c>
      <c r="E14" s="34">
        <f t="shared" si="0"/>
        <v>9171751.9000000004</v>
      </c>
      <c r="F14" s="34">
        <f t="shared" si="0"/>
        <v>2951011.3</v>
      </c>
      <c r="G14" s="34">
        <f t="shared" si="0"/>
        <v>12122763.200000001</v>
      </c>
      <c r="H14" s="31">
        <f t="shared" si="0"/>
        <v>11572266.5</v>
      </c>
      <c r="I14" s="31">
        <f t="shared" si="0"/>
        <v>2857348</v>
      </c>
      <c r="J14" s="31">
        <f t="shared" si="0"/>
        <v>14429614.5</v>
      </c>
      <c r="K14" s="72">
        <v>11474361.300000001</v>
      </c>
      <c r="L14" s="72">
        <v>3101620.7</v>
      </c>
      <c r="M14" s="63">
        <v>14575982.000000002</v>
      </c>
      <c r="N14" s="34">
        <f>SUM(N9:N13)</f>
        <v>8895973.8549999986</v>
      </c>
      <c r="O14" s="34">
        <f>SUM(O9:O13)</f>
        <v>2977719.2</v>
      </c>
      <c r="P14" s="34">
        <f>SUM(P9:P13)</f>
        <v>11873693.054999998</v>
      </c>
      <c r="Q14" s="34"/>
      <c r="R14" s="34"/>
      <c r="S14" s="34"/>
      <c r="T14" s="34"/>
      <c r="U14" s="34"/>
      <c r="V14" s="34"/>
      <c r="W14" s="34">
        <f>SUM(W9:W13)</f>
        <v>88686465.600000009</v>
      </c>
      <c r="X14" s="34"/>
      <c r="Y14" s="22"/>
    </row>
    <row r="18" spans="1:25" ht="18.75">
      <c r="A18" s="74" t="s">
        <v>57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</row>
    <row r="20" spans="1:25" ht="15.75">
      <c r="A20" s="26"/>
      <c r="B20" s="27"/>
      <c r="C20" s="28" t="s">
        <v>3</v>
      </c>
      <c r="D20" s="29"/>
      <c r="E20" s="27"/>
      <c r="F20" s="28" t="s">
        <v>4</v>
      </c>
      <c r="G20" s="29"/>
      <c r="H20" s="27"/>
      <c r="I20" s="28" t="s">
        <v>5</v>
      </c>
      <c r="J20" s="29"/>
      <c r="K20" s="27"/>
      <c r="L20" s="28" t="s">
        <v>6</v>
      </c>
      <c r="M20" s="29"/>
      <c r="N20" s="27"/>
      <c r="O20" s="28" t="s">
        <v>7</v>
      </c>
      <c r="P20" s="29"/>
      <c r="Q20" s="27"/>
      <c r="R20" s="28" t="s">
        <v>8</v>
      </c>
      <c r="S20" s="29"/>
      <c r="T20" s="27"/>
      <c r="U20" s="28" t="s">
        <v>9</v>
      </c>
      <c r="V20" s="29"/>
      <c r="W20" s="49">
        <v>2011</v>
      </c>
      <c r="X20" s="29"/>
    </row>
    <row r="21" spans="1:25" ht="15.75">
      <c r="A21" s="26" t="s">
        <v>10</v>
      </c>
      <c r="B21" s="49" t="s">
        <v>11</v>
      </c>
      <c r="C21" s="49" t="s">
        <v>12</v>
      </c>
      <c r="D21" s="49" t="s">
        <v>13</v>
      </c>
      <c r="E21" s="49" t="s">
        <v>11</v>
      </c>
      <c r="F21" s="49" t="s">
        <v>12</v>
      </c>
      <c r="G21" s="49" t="s">
        <v>13</v>
      </c>
      <c r="H21" s="49" t="s">
        <v>11</v>
      </c>
      <c r="I21" s="49" t="s">
        <v>12</v>
      </c>
      <c r="J21" s="49" t="s">
        <v>13</v>
      </c>
      <c r="K21" s="49" t="s">
        <v>11</v>
      </c>
      <c r="L21" s="49" t="s">
        <v>12</v>
      </c>
      <c r="M21" s="49" t="s">
        <v>13</v>
      </c>
      <c r="N21" s="49" t="s">
        <v>11</v>
      </c>
      <c r="O21" s="49" t="s">
        <v>12</v>
      </c>
      <c r="P21" s="49" t="s">
        <v>13</v>
      </c>
      <c r="Q21" s="49" t="s">
        <v>11</v>
      </c>
      <c r="R21" s="49" t="s">
        <v>12</v>
      </c>
      <c r="S21" s="49" t="s">
        <v>13</v>
      </c>
      <c r="T21" s="49" t="s">
        <v>11</v>
      </c>
      <c r="U21" s="49" t="s">
        <v>12</v>
      </c>
      <c r="V21" s="49" t="s">
        <v>13</v>
      </c>
      <c r="W21" s="49" t="s">
        <v>58</v>
      </c>
      <c r="X21" s="49" t="s">
        <v>14</v>
      </c>
      <c r="Y21" s="48"/>
    </row>
    <row r="22" spans="1:25">
      <c r="A22" s="24" t="s">
        <v>52</v>
      </c>
      <c r="B22" s="54">
        <v>277475</v>
      </c>
      <c r="C22" s="54">
        <v>8733</v>
      </c>
      <c r="D22" s="54">
        <v>286208</v>
      </c>
      <c r="E22" s="54">
        <v>43368</v>
      </c>
      <c r="F22" s="54">
        <v>18168</v>
      </c>
      <c r="G22" s="54">
        <v>61536</v>
      </c>
      <c r="H22" s="54">
        <v>63641</v>
      </c>
      <c r="I22" s="54">
        <v>38938</v>
      </c>
      <c r="J22" s="54">
        <v>102579</v>
      </c>
      <c r="K22" s="70">
        <v>55849</v>
      </c>
      <c r="L22" s="70">
        <v>16229</v>
      </c>
      <c r="M22" s="70">
        <v>72078</v>
      </c>
      <c r="N22" s="71">
        <v>39837</v>
      </c>
      <c r="O22" s="71">
        <v>11245</v>
      </c>
      <c r="P22" s="71">
        <f>SUM(N22:O22)</f>
        <v>51082</v>
      </c>
      <c r="Q22" s="23"/>
      <c r="R22" s="23"/>
      <c r="S22" s="23"/>
      <c r="T22" s="39"/>
      <c r="U22" s="39"/>
      <c r="V22" s="39"/>
      <c r="W22" s="33">
        <v>429639</v>
      </c>
      <c r="X22" s="40"/>
    </row>
    <row r="23" spans="1:25" ht="15.75">
      <c r="A23" s="24" t="s">
        <v>53</v>
      </c>
      <c r="B23" s="54">
        <v>18141.5</v>
      </c>
      <c r="C23" s="54">
        <v>250330.5</v>
      </c>
      <c r="D23" s="54">
        <v>268472</v>
      </c>
      <c r="E23" s="54">
        <v>19001</v>
      </c>
      <c r="F23" s="54">
        <v>251070</v>
      </c>
      <c r="G23" s="54">
        <v>270071</v>
      </c>
      <c r="H23" s="54">
        <v>21212.400000000001</v>
      </c>
      <c r="I23" s="54">
        <v>271114</v>
      </c>
      <c r="J23" s="54">
        <v>292326.40000000002</v>
      </c>
      <c r="K23" s="70">
        <v>20935.5</v>
      </c>
      <c r="L23" s="70">
        <v>273958</v>
      </c>
      <c r="M23" s="70">
        <v>294893.5</v>
      </c>
      <c r="N23" s="71">
        <v>19236.599999999999</v>
      </c>
      <c r="O23" s="71">
        <v>51196.3</v>
      </c>
      <c r="P23" s="71">
        <f>SUM(N23:O23)</f>
        <v>70432.899999999994</v>
      </c>
      <c r="Q23" s="38"/>
      <c r="R23" s="38"/>
      <c r="S23" s="37"/>
      <c r="T23" s="39"/>
      <c r="U23" s="39"/>
      <c r="V23" s="39"/>
      <c r="W23" s="23">
        <v>880488.5</v>
      </c>
      <c r="X23" s="40"/>
    </row>
    <row r="24" spans="1:25">
      <c r="A24" s="24" t="s">
        <v>54</v>
      </c>
      <c r="B24" s="54">
        <v>416479</v>
      </c>
      <c r="C24" s="54">
        <v>48684</v>
      </c>
      <c r="D24" s="54">
        <v>465163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/>
      <c r="K24" s="70">
        <v>0</v>
      </c>
      <c r="L24" s="70">
        <v>0</v>
      </c>
      <c r="M24" s="70">
        <v>0</v>
      </c>
      <c r="N24" s="71">
        <v>0</v>
      </c>
      <c r="O24" s="71">
        <v>0</v>
      </c>
      <c r="P24" s="71">
        <v>0</v>
      </c>
      <c r="Q24" s="23"/>
      <c r="R24" s="23"/>
      <c r="S24" s="23"/>
      <c r="T24" s="39"/>
      <c r="U24" s="39"/>
      <c r="V24" s="39"/>
      <c r="W24" s="23">
        <v>0</v>
      </c>
      <c r="X24" s="40"/>
    </row>
    <row r="25" spans="1:25">
      <c r="A25" s="24" t="s">
        <v>55</v>
      </c>
      <c r="B25" s="54">
        <v>0</v>
      </c>
      <c r="C25" s="54">
        <v>0</v>
      </c>
      <c r="D25" s="54">
        <v>0</v>
      </c>
      <c r="E25" s="54">
        <v>10094</v>
      </c>
      <c r="F25" s="54">
        <v>17220</v>
      </c>
      <c r="G25" s="54">
        <v>27314</v>
      </c>
      <c r="H25" s="54">
        <v>0</v>
      </c>
      <c r="I25" s="54">
        <v>0</v>
      </c>
      <c r="J25" s="54">
        <v>0</v>
      </c>
      <c r="K25" s="70">
        <v>0</v>
      </c>
      <c r="L25" s="70">
        <v>0</v>
      </c>
      <c r="M25" s="70">
        <v>0</v>
      </c>
      <c r="N25" s="71">
        <v>52700</v>
      </c>
      <c r="O25" s="71">
        <v>25081</v>
      </c>
      <c r="P25" s="71">
        <v>77781</v>
      </c>
      <c r="Q25" s="23"/>
      <c r="R25" s="23"/>
      <c r="S25" s="23"/>
      <c r="T25" s="39"/>
      <c r="U25" s="39"/>
      <c r="V25" s="39"/>
      <c r="W25" s="23">
        <v>8442</v>
      </c>
      <c r="X25" s="40"/>
    </row>
    <row r="26" spans="1:25">
      <c r="A26" s="24" t="s">
        <v>35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/>
      <c r="K26" s="70">
        <v>0</v>
      </c>
      <c r="L26" s="70">
        <v>0</v>
      </c>
      <c r="M26" s="70">
        <v>0</v>
      </c>
      <c r="N26" s="71"/>
      <c r="O26" s="71"/>
      <c r="P26" s="71"/>
      <c r="Q26" s="23"/>
      <c r="R26" s="23"/>
      <c r="S26" s="23"/>
      <c r="T26" s="39"/>
      <c r="U26" s="39"/>
      <c r="V26" s="39"/>
      <c r="W26" s="23">
        <v>0</v>
      </c>
      <c r="X26" s="40"/>
    </row>
    <row r="27" spans="1:25">
      <c r="A27" s="24" t="s">
        <v>13</v>
      </c>
      <c r="B27" s="35">
        <f t="shared" ref="B27:J27" si="1">SUM(B22:B26)</f>
        <v>712095.5</v>
      </c>
      <c r="C27" s="35">
        <f t="shared" si="1"/>
        <v>307747.5</v>
      </c>
      <c r="D27" s="35">
        <f t="shared" si="1"/>
        <v>1019843</v>
      </c>
      <c r="E27" s="34">
        <f t="shared" si="1"/>
        <v>72463</v>
      </c>
      <c r="F27" s="34">
        <f t="shared" si="1"/>
        <v>286458</v>
      </c>
      <c r="G27" s="34">
        <f t="shared" si="1"/>
        <v>358921</v>
      </c>
      <c r="H27" s="31">
        <f t="shared" si="1"/>
        <v>84853.4</v>
      </c>
      <c r="I27" s="31">
        <f t="shared" si="1"/>
        <v>310052</v>
      </c>
      <c r="J27" s="32">
        <f t="shared" si="1"/>
        <v>394905.4</v>
      </c>
      <c r="K27" s="34">
        <v>76784.5</v>
      </c>
      <c r="L27" s="34">
        <v>290187</v>
      </c>
      <c r="M27" s="34">
        <v>366971.5</v>
      </c>
      <c r="N27" s="31">
        <f>SUM(N22:N26)</f>
        <v>111773.6</v>
      </c>
      <c r="O27" s="31">
        <f>SUM(O22:O26)</f>
        <v>87522.3</v>
      </c>
      <c r="P27" s="31">
        <f>SUM(P22:P26)</f>
        <v>199295.9</v>
      </c>
      <c r="Q27" s="24"/>
      <c r="R27" s="24"/>
      <c r="S27" s="24"/>
      <c r="T27" s="41"/>
      <c r="U27" s="41"/>
      <c r="V27" s="41"/>
      <c r="W27" s="35">
        <f>SUM(W22:W26)</f>
        <v>1318569.5</v>
      </c>
      <c r="X27" s="42"/>
    </row>
  </sheetData>
  <mergeCells count="5">
    <mergeCell ref="A1:X1"/>
    <mergeCell ref="A2:Y2"/>
    <mergeCell ref="A3:X3"/>
    <mergeCell ref="A5:Y5"/>
    <mergeCell ref="A18:X18"/>
  </mergeCells>
  <pageMargins left="0.19685039370078741" right="0.15748031496062992" top="0.74803149606299213" bottom="0.86" header="0.11811023622047245" footer="0.67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OPS RM 12</cp:lastModifiedBy>
  <cp:lastPrinted>2012-07-26T08:04:16Z</cp:lastPrinted>
  <dcterms:created xsi:type="dcterms:W3CDTF">2012-05-14T21:30:35Z</dcterms:created>
  <dcterms:modified xsi:type="dcterms:W3CDTF">2012-07-26T08:07:14Z</dcterms:modified>
</cp:coreProperties>
</file>